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/>
  <mc:AlternateContent xmlns:mc="http://schemas.openxmlformats.org/markup-compatibility/2006">
    <mc:Choice Requires="x15">
      <x15ac:absPath xmlns:x15ac="http://schemas.microsoft.com/office/spreadsheetml/2010/11/ac" url="Z:\převod Míra duben 2020\schůze zastupitelstva\DOTACE\DOTACE 2020\rekonstrukce školka\výběrko nové kolo 30.6.2020\"/>
    </mc:Choice>
  </mc:AlternateContent>
  <xr:revisionPtr revIDLastSave="0" documentId="13_ncr:1_{3E87E279-A7E1-4F3F-BD8C-F300E8620C3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Stavební rozpočet" sheetId="1" r:id="rId1"/>
    <sheet name="Stavební rozpočet - součet" sheetId="2" r:id="rId2"/>
    <sheet name="Výkaz výměr" sheetId="3" r:id="rId3"/>
    <sheet name="Krycí list rozpočtu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4" l="1"/>
  <c r="I22" i="4"/>
  <c r="J13" i="1"/>
  <c r="L13" i="1"/>
  <c r="O13" i="1"/>
  <c r="S13" i="1"/>
  <c r="T13" i="1"/>
  <c r="U13" i="1"/>
  <c r="V13" i="1"/>
  <c r="W13" i="1"/>
  <c r="Y13" i="1"/>
  <c r="Z13" i="1"/>
  <c r="AD13" i="1"/>
  <c r="AL13" i="1" s="1"/>
  <c r="H13" i="1"/>
  <c r="Q13" i="1" s="1"/>
  <c r="AE13" i="1"/>
  <c r="AM13" i="1" s="1"/>
  <c r="AS13" i="1"/>
  <c r="AU13" i="1"/>
  <c r="J14" i="1"/>
  <c r="AA14" i="1" s="1"/>
  <c r="L14" i="1"/>
  <c r="AU14" i="1" s="1"/>
  <c r="O14" i="1"/>
  <c r="S14" i="1"/>
  <c r="T14" i="1"/>
  <c r="U14" i="1"/>
  <c r="V14" i="1"/>
  <c r="W14" i="1"/>
  <c r="Y14" i="1"/>
  <c r="Z14" i="1"/>
  <c r="AD14" i="1"/>
  <c r="AL14" i="1" s="1"/>
  <c r="AE14" i="1"/>
  <c r="AM14" i="1" s="1"/>
  <c r="AS14" i="1"/>
  <c r="J17" i="1"/>
  <c r="AA17" i="1" s="1"/>
  <c r="AJ16" i="1" s="1"/>
  <c r="L17" i="1"/>
  <c r="L16" i="1" s="1"/>
  <c r="G12" i="2" s="1"/>
  <c r="O17" i="1"/>
  <c r="Q17" i="1"/>
  <c r="R17" i="1"/>
  <c r="U17" i="1"/>
  <c r="V17" i="1"/>
  <c r="W17" i="1"/>
  <c r="Y17" i="1"/>
  <c r="AH16" i="1" s="1"/>
  <c r="Z17" i="1"/>
  <c r="AI16" i="1"/>
  <c r="AD17" i="1"/>
  <c r="H17" i="1" s="1"/>
  <c r="AE17" i="1"/>
  <c r="AM17" i="1"/>
  <c r="AS17" i="1"/>
  <c r="AU17" i="1"/>
  <c r="H19" i="1"/>
  <c r="H18" i="1" s="1"/>
  <c r="J19" i="1"/>
  <c r="AA19" i="1" s="1"/>
  <c r="AJ18" i="1" s="1"/>
  <c r="L19" i="1"/>
  <c r="L18" i="1"/>
  <c r="G13" i="2" s="1"/>
  <c r="O19" i="1"/>
  <c r="Q19" i="1"/>
  <c r="R19" i="1"/>
  <c r="U19" i="1"/>
  <c r="V19" i="1"/>
  <c r="W19" i="1"/>
  <c r="Y19" i="1"/>
  <c r="AH18" i="1" s="1"/>
  <c r="Z19" i="1"/>
  <c r="AI18" i="1" s="1"/>
  <c r="AD19" i="1"/>
  <c r="AL19" i="1" s="1"/>
  <c r="AE19" i="1"/>
  <c r="AM19" i="1" s="1"/>
  <c r="AS19" i="1"/>
  <c r="J22" i="1"/>
  <c r="L22" i="1"/>
  <c r="L21" i="1"/>
  <c r="G14" i="2" s="1"/>
  <c r="O22" i="1"/>
  <c r="Q22" i="1"/>
  <c r="R22" i="1"/>
  <c r="U22" i="1"/>
  <c r="V22" i="1"/>
  <c r="W22" i="1"/>
  <c r="Y22" i="1"/>
  <c r="Z22" i="1"/>
  <c r="AA22" i="1"/>
  <c r="AD22" i="1"/>
  <c r="H22" i="1" s="1"/>
  <c r="AL22" i="1"/>
  <c r="AE22" i="1"/>
  <c r="AM22" i="1" s="1"/>
  <c r="AR22" i="1" s="1"/>
  <c r="AS22" i="1"/>
  <c r="AU22" i="1"/>
  <c r="J24" i="1"/>
  <c r="AA24" i="1" s="1"/>
  <c r="L24" i="1"/>
  <c r="O24" i="1"/>
  <c r="Q24" i="1"/>
  <c r="R24" i="1"/>
  <c r="U24" i="1"/>
  <c r="V24" i="1"/>
  <c r="W24" i="1"/>
  <c r="Y24" i="1"/>
  <c r="Z24" i="1"/>
  <c r="AD24" i="1"/>
  <c r="H24" i="1" s="1"/>
  <c r="AE24" i="1"/>
  <c r="AM24" i="1" s="1"/>
  <c r="AS24" i="1"/>
  <c r="AU24" i="1"/>
  <c r="J26" i="1"/>
  <c r="AA26" i="1" s="1"/>
  <c r="L26" i="1"/>
  <c r="O26" i="1"/>
  <c r="Q26" i="1"/>
  <c r="R26" i="1"/>
  <c r="U26" i="1"/>
  <c r="V26" i="1"/>
  <c r="W26" i="1"/>
  <c r="Y26" i="1"/>
  <c r="Z26" i="1"/>
  <c r="AD26" i="1"/>
  <c r="AL26" i="1" s="1"/>
  <c r="H26" i="1"/>
  <c r="S26" i="1" s="1"/>
  <c r="AE26" i="1"/>
  <c r="AM26" i="1"/>
  <c r="AS26" i="1"/>
  <c r="AU26" i="1"/>
  <c r="J28" i="1"/>
  <c r="L28" i="1"/>
  <c r="AU28" i="1" s="1"/>
  <c r="O28" i="1"/>
  <c r="S28" i="1"/>
  <c r="T28" i="1"/>
  <c r="U28" i="1"/>
  <c r="V28" i="1"/>
  <c r="W28" i="1"/>
  <c r="Y28" i="1"/>
  <c r="Z28" i="1"/>
  <c r="AD28" i="1"/>
  <c r="H28" i="1" s="1"/>
  <c r="AL28" i="1"/>
  <c r="AE28" i="1"/>
  <c r="AM28" i="1" s="1"/>
  <c r="AS28" i="1"/>
  <c r="J30" i="1"/>
  <c r="AA30" i="1" s="1"/>
  <c r="L30" i="1"/>
  <c r="L27" i="1" s="1"/>
  <c r="G15" i="2" s="1"/>
  <c r="O30" i="1"/>
  <c r="S30" i="1"/>
  <c r="T30" i="1"/>
  <c r="U30" i="1"/>
  <c r="V30" i="1"/>
  <c r="W30" i="1"/>
  <c r="Y30" i="1"/>
  <c r="Z30" i="1"/>
  <c r="AD30" i="1"/>
  <c r="H30" i="1"/>
  <c r="Q30" i="1" s="1"/>
  <c r="AE30" i="1"/>
  <c r="AM30" i="1" s="1"/>
  <c r="AS30" i="1"/>
  <c r="J31" i="1"/>
  <c r="L31" i="1"/>
  <c r="AU31" i="1" s="1"/>
  <c r="Q31" i="1"/>
  <c r="R31" i="1"/>
  <c r="S31" i="1"/>
  <c r="T31" i="1"/>
  <c r="U31" i="1"/>
  <c r="V31" i="1"/>
  <c r="W31" i="1"/>
  <c r="Y31" i="1"/>
  <c r="AH27" i="1"/>
  <c r="Z31" i="1"/>
  <c r="AD31" i="1"/>
  <c r="AL31" i="1" s="1"/>
  <c r="AR31" i="1" s="1"/>
  <c r="AE31" i="1"/>
  <c r="AM31" i="1" s="1"/>
  <c r="AS31" i="1"/>
  <c r="J32" i="1"/>
  <c r="O32" i="1" s="1"/>
  <c r="L32" i="1"/>
  <c r="AU32" i="1"/>
  <c r="Q32" i="1"/>
  <c r="R32" i="1"/>
  <c r="S32" i="1"/>
  <c r="T32" i="1"/>
  <c r="U32" i="1"/>
  <c r="V32" i="1"/>
  <c r="W32" i="1"/>
  <c r="Y32" i="1"/>
  <c r="Z32" i="1"/>
  <c r="AA32" i="1"/>
  <c r="AD32" i="1"/>
  <c r="H32" i="1" s="1"/>
  <c r="AE32" i="1"/>
  <c r="AM32" i="1" s="1"/>
  <c r="AS32" i="1"/>
  <c r="AI12" i="1"/>
  <c r="AL30" i="1"/>
  <c r="AU19" i="1"/>
  <c r="AA28" i="1"/>
  <c r="I32" i="1" l="1"/>
  <c r="AL32" i="1"/>
  <c r="AR32" i="1" s="1"/>
  <c r="H31" i="1"/>
  <c r="I31" i="1" s="1"/>
  <c r="C28" i="4"/>
  <c r="F28" i="4" s="1"/>
  <c r="AI27" i="1"/>
  <c r="AR30" i="1"/>
  <c r="AR26" i="1"/>
  <c r="AH21" i="1"/>
  <c r="AI21" i="1"/>
  <c r="AR19" i="1"/>
  <c r="C20" i="4"/>
  <c r="C18" i="4"/>
  <c r="C19" i="4"/>
  <c r="H14" i="1"/>
  <c r="I14" i="1" s="1"/>
  <c r="R14" i="1" s="1"/>
  <c r="I13" i="1"/>
  <c r="AH12" i="1"/>
  <c r="AR13" i="1"/>
  <c r="H21" i="1"/>
  <c r="S22" i="1"/>
  <c r="I22" i="1"/>
  <c r="S17" i="1"/>
  <c r="H16" i="1"/>
  <c r="R13" i="1"/>
  <c r="I12" i="1"/>
  <c r="E11" i="2" s="1"/>
  <c r="AR28" i="1"/>
  <c r="AJ21" i="1"/>
  <c r="D13" i="2"/>
  <c r="Q28" i="1"/>
  <c r="C14" i="4" s="1"/>
  <c r="I28" i="1"/>
  <c r="S24" i="1"/>
  <c r="I24" i="1"/>
  <c r="T24" i="1" s="1"/>
  <c r="AR14" i="1"/>
  <c r="I19" i="1"/>
  <c r="I26" i="1"/>
  <c r="T26" i="1" s="1"/>
  <c r="O31" i="1"/>
  <c r="C21" i="4" s="1"/>
  <c r="C27" i="4"/>
  <c r="L12" i="1"/>
  <c r="G11" i="2" s="1"/>
  <c r="H12" i="1"/>
  <c r="AU30" i="1"/>
  <c r="I17" i="1"/>
  <c r="AA31" i="1"/>
  <c r="AJ27" i="1" s="1"/>
  <c r="AL24" i="1"/>
  <c r="AR24" i="1" s="1"/>
  <c r="S19" i="1"/>
  <c r="AL17" i="1"/>
  <c r="AR17" i="1" s="1"/>
  <c r="AA13" i="1"/>
  <c r="I30" i="1"/>
  <c r="R30" i="1" s="1"/>
  <c r="Q14" i="1"/>
  <c r="H27" i="1" l="1"/>
  <c r="D15" i="2"/>
  <c r="T22" i="1"/>
  <c r="I21" i="1"/>
  <c r="E14" i="2" s="1"/>
  <c r="C29" i="4"/>
  <c r="F29" i="4" s="1"/>
  <c r="AJ12" i="1"/>
  <c r="T19" i="1"/>
  <c r="I18" i="1"/>
  <c r="J12" i="1"/>
  <c r="D11" i="2"/>
  <c r="F11" i="2" s="1"/>
  <c r="I11" i="2" s="1"/>
  <c r="J21" i="1"/>
  <c r="D14" i="2"/>
  <c r="D12" i="2"/>
  <c r="J16" i="1"/>
  <c r="I27" i="1"/>
  <c r="E15" i="2" s="1"/>
  <c r="R28" i="1"/>
  <c r="C15" i="4" s="1"/>
  <c r="C16" i="4"/>
  <c r="T17" i="1"/>
  <c r="I16" i="1"/>
  <c r="E12" i="2" s="1"/>
  <c r="C17" i="4" l="1"/>
  <c r="C22" i="4" s="1"/>
  <c r="F12" i="2"/>
  <c r="I12" i="2" s="1"/>
  <c r="I28" i="4"/>
  <c r="I29" i="4" s="1"/>
  <c r="F14" i="2"/>
  <c r="I14" i="2" s="1"/>
  <c r="E13" i="2"/>
  <c r="F13" i="2" s="1"/>
  <c r="I13" i="2" s="1"/>
  <c r="J18" i="1"/>
  <c r="F15" i="2"/>
  <c r="I15" i="2" s="1"/>
  <c r="J27" i="1"/>
  <c r="J33" i="1" l="1"/>
  <c r="F17" i="2"/>
</calcChain>
</file>

<file path=xl/sharedStrings.xml><?xml version="1.0" encoding="utf-8"?>
<sst xmlns="http://schemas.openxmlformats.org/spreadsheetml/2006/main" count="282" uniqueCount="159">
  <si>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</si>
  <si>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</si>
  <si>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</si>
  <si>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</si>
  <si>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</si>
  <si>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</si>
  <si>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</si>
  <si>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</si>
  <si>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</si>
  <si>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</si>
  <si>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</si>
  <si>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</si>
  <si>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</si>
  <si>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</si>
  <si>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</si>
  <si>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</si>
  <si>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</si>
  <si>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</si>
  <si>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Poznámka:</t>
  </si>
  <si>
    <t>Objekt</t>
  </si>
  <si>
    <t>Kód</t>
  </si>
  <si>
    <t>63</t>
  </si>
  <si>
    <t>711140019RA0</t>
  </si>
  <si>
    <t>631313511RT4</t>
  </si>
  <si>
    <t>766</t>
  </si>
  <si>
    <t>766002VD</t>
  </si>
  <si>
    <t>771</t>
  </si>
  <si>
    <t>771570010RAB</t>
  </si>
  <si>
    <t>781</t>
  </si>
  <si>
    <t>602013111RT7</t>
  </si>
  <si>
    <t>602021142RT2</t>
  </si>
  <si>
    <t>781470010RA0</t>
  </si>
  <si>
    <t>97</t>
  </si>
  <si>
    <t>630900030RAB</t>
  </si>
  <si>
    <t>978021191R00</t>
  </si>
  <si>
    <t>979083117R00</t>
  </si>
  <si>
    <t>979990001R00</t>
  </si>
  <si>
    <t>Školka Malá Losenice</t>
  </si>
  <si>
    <t>Malá Losenice</t>
  </si>
  <si>
    <t>Zkrácený popis / Varianta</t>
  </si>
  <si>
    <t>Rozměry</t>
  </si>
  <si>
    <t>Podlahy a podlahové konstrukce</t>
  </si>
  <si>
    <t>Izolace proti vodě vodorovná přitavená, 1x</t>
  </si>
  <si>
    <t>Mazanina betonová tl. 8 - 12 cm C 12/15</t>
  </si>
  <si>
    <t>vyztužená ocelovými vlákny 30 kg / m3</t>
  </si>
  <si>
    <t>Konstrukce truhlářské</t>
  </si>
  <si>
    <t>Podlahy z dlaždic</t>
  </si>
  <si>
    <t>do tmele</t>
  </si>
  <si>
    <t>Obklady (keramické)</t>
  </si>
  <si>
    <t>Omítka jádrová MV 2 ručně</t>
  </si>
  <si>
    <t>tloušťka vrstvy 25 mm</t>
  </si>
  <si>
    <t>Štuk na stěnách vnitřní, ručně</t>
  </si>
  <si>
    <t>tloušťka vrstvy 3 mm</t>
  </si>
  <si>
    <t>Prorážení otvorů a ostatní bourací práce</t>
  </si>
  <si>
    <t>Vybourání dlažby a podkladního betonu</t>
  </si>
  <si>
    <t>tloušťka 10 cm</t>
  </si>
  <si>
    <t>Otlučení cementových omítek vnitřních stěn do 100%</t>
  </si>
  <si>
    <t>Vodorovné přemístění suti na skládku do 6000 m</t>
  </si>
  <si>
    <t>Poplatek za skládku stavební suti</t>
  </si>
  <si>
    <t>Doba výstavby:</t>
  </si>
  <si>
    <t>Začátek výstavby:</t>
  </si>
  <si>
    <t>Konec výstavby:</t>
  </si>
  <si>
    <t>Zpracováno dne:</t>
  </si>
  <si>
    <t>M.j.</t>
  </si>
  <si>
    <t>m2</t>
  </si>
  <si>
    <t>m3</t>
  </si>
  <si>
    <t>ks</t>
  </si>
  <si>
    <t>t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</si>
  <si>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</si>
  <si>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</si>
  <si>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</si>
  <si>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</si>
  <si>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</si>
  <si>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</si>
  <si>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</si>
  <si>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</si>
  <si>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</si>
  <si>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</si>
  <si>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</si>
  <si>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dle výběrového řízení</t>
  </si>
  <si>
    <t>Lukáš Dohnal</t>
  </si>
  <si>
    <t>Celkem</t>
  </si>
  <si>
    <t>Hmotnost (t)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</si>
  <si>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</si>
  <si>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</si>
  <si>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</si>
  <si>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</si>
  <si>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</si>
  <si>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</si>
  <si>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</si>
  <si>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</si>
  <si>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</si>
  <si>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63_</t>
  </si>
  <si>
    <t>766_</t>
  </si>
  <si>
    <t>771_</t>
  </si>
  <si>
    <t>781_</t>
  </si>
  <si>
    <t>97_</t>
  </si>
  <si>
    <t>6_</t>
  </si>
  <si>
    <t>76_</t>
  </si>
  <si>
    <t>77_</t>
  </si>
  <si>
    <t>78_</t>
  </si>
  <si>
    <t>9_</t>
  </si>
  <si>
    <t>_</t>
  </si>
  <si>
    <t>Stavební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</si>
  <si>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</si>
  <si>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</si>
  <si>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</si>
  <si>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</si>
  <si>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</si>
  <si>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T</t>
  </si>
  <si>
    <t>Výkaz výměr</t>
  </si>
  <si>
    <t>Cenová soustava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</si>
  <si>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</si>
  <si>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</si>
  <si>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</si>
  <si>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</si>
  <si>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</si>
  <si>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</si>
  <si>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</si>
  <si>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</si>
  <si>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</si>
  <si>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</si>
  <si>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</si>
  <si>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</si>
  <si>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</si>
  <si>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</si>
  <si>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</si>
  <si>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</si>
  <si>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</si>
  <si>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</si>
  <si>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</si>
  <si>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</si>
  <si>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</si>
  <si>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</si>
  <si>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</si>
  <si>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</si>
  <si>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</si>
  <si>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</si>
  <si>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</si>
  <si>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</si>
  <si>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</si>
  <si>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</si>
  <si>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</si>
  <si>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</si>
  <si>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</si>
  <si>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</si>
  <si>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</si>
  <si>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</si>
  <si>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</si>
  <si>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</si>
  <si>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</si>
  <si>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</si>
  <si>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</si>
  <si>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</si>
  <si>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</si>
  <si>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</si>
  <si>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Dveře vstupní plastové 950/2050, bezpečnostní zámek, 1/3 sklo</t>
  </si>
  <si>
    <t>Dlažba z dlaždic keramických 15 x 15 cm tl. 8 mm</t>
  </si>
  <si>
    <t>Obklad vnitřní keramický 20 x 20 cm tl. 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</si>
</sst>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sz val="10"/>
      <color indexed="59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24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1" fillId="0" borderId="0" xfId="0" applyFont="1" applyAlignment="1">
      <alignment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5" fillId="0" borderId="4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7" fillId="2" borderId="3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4" xfId="0" applyNumberFormat="1" applyFont="1" applyFill="1" applyBorder="1" applyAlignment="1" applyProtection="1">
      <alignment horizontal="right" vertical="center"/>
    </xf>
    <xf numFmtId="49" fontId="3" fillId="0" borderId="8" xfId="0" applyNumberFormat="1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right" vertical="center"/>
    </xf>
    <xf numFmtId="49" fontId="7" fillId="2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14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7" fillId="2" borderId="3" xfId="0" applyNumberFormat="1" applyFont="1" applyFill="1" applyBorder="1" applyAlignment="1" applyProtection="1">
      <alignment horizontal="right" vertical="center"/>
    </xf>
    <xf numFmtId="4" fontId="7" fillId="2" borderId="0" xfId="0" applyNumberFormat="1" applyFont="1" applyFill="1" applyBorder="1" applyAlignment="1" applyProtection="1">
      <alignment horizontal="right" vertical="center"/>
    </xf>
    <xf numFmtId="4" fontId="3" fillId="0" borderId="5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left" vertical="center"/>
    </xf>
    <xf numFmtId="49" fontId="1" fillId="0" borderId="3" xfId="0" applyNumberFormat="1" applyFont="1" applyFill="1" applyBorder="1" applyAlignment="1" applyProtection="1">
      <alignment horizontal="left" vertical="center"/>
    </xf>
    <xf numFmtId="49" fontId="3" fillId="0" borderId="16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3" fillId="0" borderId="17" xfId="0" applyNumberFormat="1" applyFont="1" applyFill="1" applyBorder="1" applyAlignment="1" applyProtection="1">
      <alignment horizontal="right" vertical="center"/>
    </xf>
    <xf numFmtId="0" fontId="1" fillId="0" borderId="4" xfId="0" applyNumberFormat="1" applyFont="1" applyFill="1" applyBorder="1" applyAlignment="1" applyProtection="1">
      <alignment vertical="center"/>
    </xf>
    <xf numFmtId="49" fontId="10" fillId="3" borderId="18" xfId="0" applyNumberFormat="1" applyFont="1" applyFill="1" applyBorder="1" applyAlignment="1" applyProtection="1">
      <alignment horizontal="center" vertical="center"/>
    </xf>
    <xf numFmtId="49" fontId="11" fillId="0" borderId="19" xfId="0" applyNumberFormat="1" applyFont="1" applyFill="1" applyBorder="1" applyAlignment="1" applyProtection="1">
      <alignment horizontal="left" vertical="center"/>
    </xf>
    <xf numFmtId="49" fontId="11" fillId="0" borderId="20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49" fontId="12" fillId="0" borderId="18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4" fontId="12" fillId="0" borderId="18" xfId="0" applyNumberFormat="1" applyFont="1" applyFill="1" applyBorder="1" applyAlignment="1" applyProtection="1">
      <alignment horizontal="right" vertical="center"/>
    </xf>
    <xf numFmtId="49" fontId="12" fillId="0" borderId="18" xfId="0" applyNumberFormat="1" applyFont="1" applyFill="1" applyBorder="1" applyAlignment="1" applyProtection="1">
      <alignment horizontal="right" vertical="center"/>
    </xf>
    <xf numFmtId="4" fontId="12" fillId="0" borderId="11" xfId="0" applyNumberFormat="1" applyFont="1" applyFill="1" applyBorder="1" applyAlignment="1" applyProtection="1">
      <alignment horizontal="right" vertical="center"/>
    </xf>
    <xf numFmtId="0" fontId="1" fillId="0" borderId="24" xfId="0" applyNumberFormat="1" applyFont="1" applyFill="1" applyBorder="1" applyAlignment="1" applyProtection="1">
      <alignment vertical="center"/>
    </xf>
    <xf numFmtId="0" fontId="1" fillId="0" borderId="25" xfId="0" applyNumberFormat="1" applyFont="1" applyFill="1" applyBorder="1" applyAlignment="1" applyProtection="1">
      <alignment vertical="center"/>
    </xf>
    <xf numFmtId="4" fontId="11" fillId="3" borderId="26" xfId="0" applyNumberFormat="1" applyFont="1" applyFill="1" applyBorder="1" applyAlignment="1" applyProtection="1">
      <alignment horizontal="right" vertical="center"/>
    </xf>
    <xf numFmtId="0" fontId="1" fillId="0" borderId="4" xfId="0" applyNumberFormat="1" applyFont="1" applyFill="1" applyBorder="1" applyAlignment="1" applyProtection="1"/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4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29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7" fillId="2" borderId="0" xfId="0" applyNumberFormat="1" applyFont="1" applyFill="1" applyBorder="1" applyAlignment="1" applyProtection="1">
      <alignment horizontal="left"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49" fontId="3" fillId="0" borderId="31" xfId="0" applyNumberFormat="1" applyFont="1" applyFill="1" applyBorder="1" applyAlignment="1" applyProtection="1">
      <alignment horizontal="center" vertical="center"/>
    </xf>
    <xf numFmtId="0" fontId="3" fillId="0" borderId="32" xfId="0" applyNumberFormat="1" applyFont="1" applyFill="1" applyBorder="1" applyAlignment="1" applyProtection="1">
      <alignment horizontal="center" vertical="center"/>
    </xf>
    <xf numFmtId="0" fontId="3" fillId="0" borderId="33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center"/>
    </xf>
    <xf numFmtId="0" fontId="7" fillId="2" borderId="3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horizontal="left" vertical="center" wrapText="1"/>
    </xf>
    <xf numFmtId="0" fontId="1" fillId="0" borderId="28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14" fontId="1" fillId="0" borderId="0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horizontal="left" vertical="center"/>
    </xf>
    <xf numFmtId="49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27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25" xfId="0" applyNumberFormat="1" applyFont="1" applyFill="1" applyBorder="1" applyAlignment="1" applyProtection="1">
      <alignment horizontal="left" vertical="center"/>
    </xf>
    <xf numFmtId="0" fontId="1" fillId="0" borderId="30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horizontal="left" vertical="center"/>
    </xf>
    <xf numFmtId="49" fontId="3" fillId="0" borderId="34" xfId="0" applyNumberFormat="1" applyFont="1" applyFill="1" applyBorder="1" applyAlignment="1" applyProtection="1">
      <alignment horizontal="left" vertical="center"/>
    </xf>
    <xf numFmtId="0" fontId="3" fillId="0" borderId="35" xfId="0" applyNumberFormat="1" applyFont="1" applyFill="1" applyBorder="1" applyAlignment="1" applyProtection="1">
      <alignment horizontal="left" vertical="center"/>
    </xf>
    <xf numFmtId="49" fontId="12" fillId="0" borderId="14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12" fillId="0" borderId="41" xfId="0" applyNumberFormat="1" applyFont="1" applyFill="1" applyBorder="1" applyAlignment="1" applyProtection="1">
      <alignment horizontal="left" vertical="center"/>
    </xf>
    <xf numFmtId="49" fontId="12" fillId="0" borderId="42" xfId="0" applyNumberFormat="1" applyFont="1" applyFill="1" applyBorder="1" applyAlignment="1" applyProtection="1">
      <alignment horizontal="left" vertical="center"/>
    </xf>
    <xf numFmtId="0" fontId="12" fillId="0" borderId="29" xfId="0" applyNumberFormat="1" applyFont="1" applyFill="1" applyBorder="1" applyAlignment="1" applyProtection="1">
      <alignment horizontal="left" vertical="center"/>
    </xf>
    <xf numFmtId="0" fontId="12" fillId="0" borderId="43" xfId="0" applyNumberFormat="1" applyFont="1" applyFill="1" applyBorder="1" applyAlignment="1" applyProtection="1">
      <alignment horizontal="left" vertical="center"/>
    </xf>
    <xf numFmtId="49" fontId="12" fillId="0" borderId="39" xfId="0" applyNumberFormat="1" applyFont="1" applyFill="1" applyBorder="1" applyAlignment="1" applyProtection="1">
      <alignment horizontal="left" vertical="center"/>
    </xf>
    <xf numFmtId="0" fontId="12" fillId="0" borderId="3" xfId="0" applyNumberFormat="1" applyFont="1" applyFill="1" applyBorder="1" applyAlignment="1" applyProtection="1">
      <alignment horizontal="left" vertical="center"/>
    </xf>
    <xf numFmtId="0" fontId="12" fillId="0" borderId="40" xfId="0" applyNumberFormat="1" applyFont="1" applyFill="1" applyBorder="1" applyAlignment="1" applyProtection="1">
      <alignment horizontal="left" vertical="center"/>
    </xf>
    <xf numFmtId="49" fontId="11" fillId="3" borderId="38" xfId="0" applyNumberFormat="1" applyFont="1" applyFill="1" applyBorder="1" applyAlignment="1" applyProtection="1">
      <alignment horizontal="left" vertical="center"/>
    </xf>
    <xf numFmtId="0" fontId="11" fillId="3" borderId="37" xfId="0" applyNumberFormat="1" applyFont="1" applyFill="1" applyBorder="1" applyAlignment="1" applyProtection="1">
      <alignment horizontal="left" vertical="center"/>
    </xf>
    <xf numFmtId="49" fontId="11" fillId="0" borderId="38" xfId="0" applyNumberFormat="1" applyFont="1" applyFill="1" applyBorder="1" applyAlignment="1" applyProtection="1">
      <alignment horizontal="left" vertical="center"/>
    </xf>
    <xf numFmtId="0" fontId="11" fillId="0" borderId="26" xfId="0" applyNumberFormat="1" applyFont="1" applyFill="1" applyBorder="1" applyAlignment="1" applyProtection="1">
      <alignment horizontal="left" vertical="center"/>
    </xf>
    <xf numFmtId="49" fontId="12" fillId="0" borderId="38" xfId="0" applyNumberFormat="1" applyFont="1" applyFill="1" applyBorder="1" applyAlignment="1" applyProtection="1">
      <alignment horizontal="left" vertical="center"/>
    </xf>
    <xf numFmtId="0" fontId="12" fillId="0" borderId="26" xfId="0" applyNumberFormat="1" applyFont="1" applyFill="1" applyBorder="1" applyAlignment="1" applyProtection="1">
      <alignment horizontal="left" vertical="center"/>
    </xf>
    <xf numFmtId="49" fontId="9" fillId="0" borderId="37" xfId="0" applyNumberFormat="1" applyFont="1" applyFill="1" applyBorder="1" applyAlignment="1" applyProtection="1">
      <alignment horizontal="center" vertical="center"/>
    </xf>
    <xf numFmtId="0" fontId="9" fillId="0" borderId="37" xfId="0" applyNumberFormat="1" applyFont="1" applyFill="1" applyBorder="1" applyAlignment="1" applyProtection="1">
      <alignment horizontal="center" vertical="center"/>
    </xf>
    <xf numFmtId="49" fontId="13" fillId="0" borderId="38" xfId="0" applyNumberFormat="1" applyFont="1" applyFill="1" applyBorder="1" applyAlignment="1" applyProtection="1">
      <alignment horizontal="left" vertical="center"/>
    </xf>
    <xf numFmtId="0" fontId="13" fillId="0" borderId="26" xfId="0" applyNumberFormat="1" applyFont="1" applyFill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0" fontId="1" fillId="0" borderId="23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14" fontId="1" fillId="0" borderId="25" xfId="0" applyNumberFormat="1" applyFont="1" applyFill="1" applyBorder="1" applyAlignment="1" applyProtection="1">
      <alignment horizontal="left" vertical="center"/>
    </xf>
    <xf numFmtId="0" fontId="1" fillId="0" borderId="36" xfId="0" applyNumberFormat="1" applyFont="1" applyFill="1" applyBorder="1" applyAlignment="1" applyProtection="1">
      <alignment horizontal="left" vertical="center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center"/>
    </xf>
    <xf numFmtId="49" fontId="1" fillId="0" borderId="22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000000"/>
      <rgbColor rgb="00FFFF00"/>
      <rgbColor rgb="00000000"/>
      <rgbColor rgb="00FFFF00"/>
      <rgbColor rgb="00000000"/>
      <rgbColor rgb="00C0C0C0"/>
      <rgbColor rgb="00000000"/>
      <rgbColor rgb="00000000"/>
      <rgbColor rgb="00000000"/>
      <rgbColor rgb="00008080"/>
      <rgbColor rgb="0080008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35"/>
  <sheetViews>
    <sheetView tabSelected="1" workbookViewId="0">
      <selection activeCell="D27" sqref="D27:G27"/>
    </sheetView>
  </sheetViews>
  <sheetFormatPr defaultColWidth="11.5703125" defaultRowHeight="12.75" x14ac:dyDescent="0.2"/>
  <cols>
    <col min="1" max="1" width="3.7109375" customWidth="1"/>
    <col min="2" max="2" width="6.85546875" customWidth="1"/>
    <col min="3" max="3" width="13.28515625" customWidth="1"/>
    <col min="4" max="4" width="44.5703125" customWidth="1"/>
    <col min="5" max="5" width="4.28515625" customWidth="1"/>
    <col min="6" max="6" width="12.85546875" customWidth="1"/>
    <col min="7" max="7" width="12" customWidth="1"/>
    <col min="8" max="10" width="14.28515625" customWidth="1"/>
    <col min="11" max="12" width="11.7109375" customWidth="1"/>
    <col min="13" max="13" width="0" hidden="1" customWidth="1"/>
    <col min="14" max="47" width="12.140625" hidden="1" customWidth="1"/>
  </cols>
  <sheetData>
    <row r="1" spans="1:47" ht="72.95" customHeight="1" x14ac:dyDescent="0.35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47" x14ac:dyDescent="0.2">
      <c r="A2" s="82" t="s">
        <v>1</v>
      </c>
      <c r="B2" s="83"/>
      <c r="C2" s="83"/>
      <c r="D2" s="84" t="s">
        <v>37</v>
      </c>
      <c r="E2" s="86" t="s">
        <v>59</v>
      </c>
      <c r="F2" s="83"/>
      <c r="G2" s="86"/>
      <c r="H2" s="83"/>
      <c r="I2" s="87" t="s">
        <v>74</v>
      </c>
      <c r="J2" s="87" t="s">
        <v>38</v>
      </c>
      <c r="K2" s="83"/>
      <c r="L2" s="83"/>
      <c r="M2" s="27"/>
    </row>
    <row r="3" spans="1:47" x14ac:dyDescent="0.2">
      <c r="A3" s="79"/>
      <c r="B3" s="64"/>
      <c r="C3" s="64"/>
      <c r="D3" s="85"/>
      <c r="E3" s="64"/>
      <c r="F3" s="64"/>
      <c r="G3" s="64"/>
      <c r="H3" s="64"/>
      <c r="I3" s="64"/>
      <c r="J3" s="64"/>
      <c r="K3" s="64"/>
      <c r="L3" s="64"/>
      <c r="M3" s="27"/>
    </row>
    <row r="4" spans="1:47" x14ac:dyDescent="0.2">
      <c r="A4" s="75" t="s">
        <v>2</v>
      </c>
      <c r="B4" s="64"/>
      <c r="C4" s="64"/>
      <c r="D4" s="63"/>
      <c r="E4" s="77" t="s">
        <v>60</v>
      </c>
      <c r="F4" s="64"/>
      <c r="G4" s="78"/>
      <c r="H4" s="64"/>
      <c r="I4" s="63" t="s">
        <v>75</v>
      </c>
      <c r="J4" s="63"/>
      <c r="K4" s="64"/>
      <c r="L4" s="64"/>
      <c r="M4" s="27"/>
    </row>
    <row r="5" spans="1:47" x14ac:dyDescent="0.2">
      <c r="A5" s="79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27"/>
    </row>
    <row r="6" spans="1:47" x14ac:dyDescent="0.2">
      <c r="A6" s="75" t="s">
        <v>3</v>
      </c>
      <c r="B6" s="64"/>
      <c r="C6" s="64"/>
      <c r="D6" s="63" t="s">
        <v>38</v>
      </c>
      <c r="E6" s="77" t="s">
        <v>61</v>
      </c>
      <c r="F6" s="64"/>
      <c r="G6" s="64"/>
      <c r="H6" s="64"/>
      <c r="I6" s="63" t="s">
        <v>76</v>
      </c>
      <c r="J6" s="63" t="s">
        <v>79</v>
      </c>
      <c r="K6" s="64"/>
      <c r="L6" s="64"/>
      <c r="M6" s="27"/>
    </row>
    <row r="7" spans="1:47" x14ac:dyDescent="0.2">
      <c r="A7" s="79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27"/>
    </row>
    <row r="8" spans="1:47" x14ac:dyDescent="0.2">
      <c r="A8" s="75" t="s">
        <v>4</v>
      </c>
      <c r="B8" s="64"/>
      <c r="C8" s="64"/>
      <c r="D8" s="63"/>
      <c r="E8" s="77" t="s">
        <v>62</v>
      </c>
      <c r="F8" s="64"/>
      <c r="G8" s="78"/>
      <c r="H8" s="64"/>
      <c r="I8" s="63" t="s">
        <v>77</v>
      </c>
      <c r="J8" s="63" t="s">
        <v>80</v>
      </c>
      <c r="K8" s="64"/>
      <c r="L8" s="64"/>
      <c r="M8" s="27"/>
    </row>
    <row r="9" spans="1:47" x14ac:dyDescent="0.2">
      <c r="A9" s="76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27"/>
    </row>
    <row r="10" spans="1:47" x14ac:dyDescent="0.2">
      <c r="A10" s="1" t="s">
        <v>5</v>
      </c>
      <c r="B10" s="9" t="s">
        <v>19</v>
      </c>
      <c r="C10" s="9" t="s">
        <v>20</v>
      </c>
      <c r="D10" s="9" t="s">
        <v>39</v>
      </c>
      <c r="E10" s="9" t="s">
        <v>63</v>
      </c>
      <c r="F10" s="16" t="s">
        <v>68</v>
      </c>
      <c r="G10" s="19" t="s">
        <v>69</v>
      </c>
      <c r="H10" s="70" t="s">
        <v>71</v>
      </c>
      <c r="I10" s="71"/>
      <c r="J10" s="72"/>
      <c r="K10" s="70" t="s">
        <v>82</v>
      </c>
      <c r="L10" s="72"/>
      <c r="M10" s="28"/>
    </row>
    <row r="11" spans="1:47" x14ac:dyDescent="0.2">
      <c r="A11" s="2" t="s">
        <v>6</v>
      </c>
      <c r="B11" s="10" t="s">
        <v>6</v>
      </c>
      <c r="C11" s="10" t="s">
        <v>6</v>
      </c>
      <c r="D11" s="13" t="s">
        <v>40</v>
      </c>
      <c r="E11" s="10" t="s">
        <v>6</v>
      </c>
      <c r="F11" s="10" t="s">
        <v>6</v>
      </c>
      <c r="G11" s="20" t="s">
        <v>70</v>
      </c>
      <c r="H11" s="21" t="s">
        <v>72</v>
      </c>
      <c r="I11" s="22" t="s">
        <v>78</v>
      </c>
      <c r="J11" s="23" t="s">
        <v>81</v>
      </c>
      <c r="K11" s="21" t="s">
        <v>69</v>
      </c>
      <c r="L11" s="23" t="s">
        <v>81</v>
      </c>
      <c r="M11" s="28"/>
      <c r="O11" s="25" t="s">
        <v>83</v>
      </c>
      <c r="P11" s="25" t="s">
        <v>84</v>
      </c>
      <c r="Q11" s="25" t="s">
        <v>85</v>
      </c>
      <c r="R11" s="25" t="s">
        <v>86</v>
      </c>
      <c r="S11" s="25" t="s">
        <v>87</v>
      </c>
      <c r="T11" s="25" t="s">
        <v>88</v>
      </c>
      <c r="U11" s="25" t="s">
        <v>89</v>
      </c>
      <c r="V11" s="25" t="s">
        <v>90</v>
      </c>
      <c r="W11" s="25" t="s">
        <v>91</v>
      </c>
    </row>
    <row r="12" spans="1:47" x14ac:dyDescent="0.2">
      <c r="A12" s="3"/>
      <c r="B12" s="11"/>
      <c r="C12" s="11" t="s">
        <v>21</v>
      </c>
      <c r="D12" s="73" t="s">
        <v>41</v>
      </c>
      <c r="E12" s="74"/>
      <c r="F12" s="74"/>
      <c r="G12" s="74"/>
      <c r="H12" s="31">
        <f>SUM(H13:H14)</f>
        <v>0</v>
      </c>
      <c r="I12" s="31">
        <f>SUM(I13:I14)</f>
        <v>0</v>
      </c>
      <c r="J12" s="31">
        <f>H12+I12</f>
        <v>0</v>
      </c>
      <c r="K12" s="24"/>
      <c r="L12" s="31">
        <f>SUM(L13:L14)</f>
        <v>63.64428800000001</v>
      </c>
      <c r="X12" s="25"/>
      <c r="AH12" s="32">
        <f>SUM(Y13:Y14)</f>
        <v>0</v>
      </c>
      <c r="AI12" s="32">
        <f>SUM(Z13:Z14)</f>
        <v>0</v>
      </c>
      <c r="AJ12" s="32">
        <f>SUM(AA13:AA14)</f>
        <v>0</v>
      </c>
    </row>
    <row r="13" spans="1:47" x14ac:dyDescent="0.2">
      <c r="A13" s="4" t="s">
        <v>7</v>
      </c>
      <c r="B13" s="4"/>
      <c r="C13" s="4" t="s">
        <v>22</v>
      </c>
      <c r="D13" s="4" t="s">
        <v>42</v>
      </c>
      <c r="E13" s="4" t="s">
        <v>64</v>
      </c>
      <c r="F13" s="61">
        <v>29.3</v>
      </c>
      <c r="G13" s="17"/>
      <c r="H13" s="17">
        <f>F13*AD13</f>
        <v>0</v>
      </c>
      <c r="I13" s="17">
        <f>J13-H13</f>
        <v>0</v>
      </c>
      <c r="J13" s="17">
        <f>F13*G13</f>
        <v>0</v>
      </c>
      <c r="K13" s="17">
        <v>4.0999999999999999E-4</v>
      </c>
      <c r="L13" s="17">
        <f>F13*K13</f>
        <v>1.2012999999999999E-2</v>
      </c>
      <c r="O13" s="29">
        <f>IF(AF13="5",J13,0)</f>
        <v>0</v>
      </c>
      <c r="Q13" s="29">
        <f>IF(AF13="1",H13,0)</f>
        <v>0</v>
      </c>
      <c r="R13" s="29">
        <f>IF(AF13="1",I13,0)</f>
        <v>0</v>
      </c>
      <c r="S13" s="29">
        <f>IF(AF13="7",H13,0)</f>
        <v>0</v>
      </c>
      <c r="T13" s="29">
        <f>IF(AF13="7",I13,0)</f>
        <v>0</v>
      </c>
      <c r="U13" s="29">
        <f>IF(AF13="2",H13,0)</f>
        <v>0</v>
      </c>
      <c r="V13" s="29">
        <f>IF(AF13="2",I13,0)</f>
        <v>0</v>
      </c>
      <c r="W13" s="29">
        <f>IF(AF13="0",J13,0)</f>
        <v>0</v>
      </c>
      <c r="X13" s="25"/>
      <c r="Y13" s="17">
        <f>IF(AC13=0,J13,0)</f>
        <v>0</v>
      </c>
      <c r="Z13" s="17">
        <f>IF(AC13=15,J13,0)</f>
        <v>0</v>
      </c>
      <c r="AA13" s="17">
        <f>IF(AC13=21,J13,0)</f>
        <v>0</v>
      </c>
      <c r="AC13" s="29">
        <v>21</v>
      </c>
      <c r="AD13" s="29">
        <f>G13*0.082201646090535</f>
        <v>0</v>
      </c>
      <c r="AE13" s="29">
        <f>G13*(1-0.082201646090535)</f>
        <v>0</v>
      </c>
      <c r="AF13" s="26" t="s">
        <v>7</v>
      </c>
      <c r="AL13" s="29">
        <f>F13*AD13</f>
        <v>0</v>
      </c>
      <c r="AM13" s="29">
        <f>F13*AE13</f>
        <v>0</v>
      </c>
      <c r="AN13" s="30" t="s">
        <v>92</v>
      </c>
      <c r="AO13" s="30" t="s">
        <v>97</v>
      </c>
      <c r="AP13" s="25" t="s">
        <v>102</v>
      </c>
      <c r="AR13" s="29">
        <f>AL13+AM13</f>
        <v>0</v>
      </c>
      <c r="AS13" s="29">
        <f>G13/(100-AT13)*100</f>
        <v>0</v>
      </c>
      <c r="AT13" s="29">
        <v>0</v>
      </c>
      <c r="AU13" s="29">
        <f>L13</f>
        <v>1.2012999999999999E-2</v>
      </c>
    </row>
    <row r="14" spans="1:47" x14ac:dyDescent="0.2">
      <c r="A14" s="4" t="s">
        <v>8</v>
      </c>
      <c r="B14" s="4"/>
      <c r="C14" s="4" t="s">
        <v>23</v>
      </c>
      <c r="D14" s="4" t="s">
        <v>43</v>
      </c>
      <c r="E14" s="4" t="s">
        <v>65</v>
      </c>
      <c r="F14" s="61">
        <v>24.905000000000001</v>
      </c>
      <c r="G14" s="17"/>
      <c r="H14" s="17">
        <f>F14*AD14</f>
        <v>0</v>
      </c>
      <c r="I14" s="17">
        <f>J14-H14</f>
        <v>0</v>
      </c>
      <c r="J14" s="17">
        <f>F14*G14</f>
        <v>0</v>
      </c>
      <c r="K14" s="17">
        <v>2.5550000000000002</v>
      </c>
      <c r="L14" s="17">
        <f>F14*K14</f>
        <v>63.632275000000007</v>
      </c>
      <c r="O14" s="29">
        <f>IF(AF14="5",J14,0)</f>
        <v>0</v>
      </c>
      <c r="Q14" s="29">
        <f>IF(AF14="1",H14,0)</f>
        <v>0</v>
      </c>
      <c r="R14" s="29">
        <f>IF(AF14="1",I14,0)</f>
        <v>0</v>
      </c>
      <c r="S14" s="29">
        <f>IF(AF14="7",H14,0)</f>
        <v>0</v>
      </c>
      <c r="T14" s="29">
        <f>IF(AF14="7",I14,0)</f>
        <v>0</v>
      </c>
      <c r="U14" s="29">
        <f>IF(AF14="2",H14,0)</f>
        <v>0</v>
      </c>
      <c r="V14" s="29">
        <f>IF(AF14="2",I14,0)</f>
        <v>0</v>
      </c>
      <c r="W14" s="29">
        <f>IF(AF14="0",J14,0)</f>
        <v>0</v>
      </c>
      <c r="X14" s="25"/>
      <c r="Y14" s="17">
        <f>IF(AC14=0,J14,0)</f>
        <v>0</v>
      </c>
      <c r="Z14" s="17">
        <f>IF(AC14=15,J14,0)</f>
        <v>0</v>
      </c>
      <c r="AA14" s="17">
        <f>IF(AC14=21,J14,0)</f>
        <v>0</v>
      </c>
      <c r="AC14" s="29">
        <v>21</v>
      </c>
      <c r="AD14" s="29">
        <f>G14*0.777030478955007</f>
        <v>0</v>
      </c>
      <c r="AE14" s="29">
        <f>G14*(1-0.777030478955007)</f>
        <v>0</v>
      </c>
      <c r="AF14" s="26" t="s">
        <v>7</v>
      </c>
      <c r="AL14" s="29">
        <f>F14*AD14</f>
        <v>0</v>
      </c>
      <c r="AM14" s="29">
        <f>F14*AE14</f>
        <v>0</v>
      </c>
      <c r="AN14" s="30" t="s">
        <v>92</v>
      </c>
      <c r="AO14" s="30" t="s">
        <v>97</v>
      </c>
      <c r="AP14" s="25" t="s">
        <v>102</v>
      </c>
      <c r="AR14" s="29">
        <f>AL14+AM14</f>
        <v>0</v>
      </c>
      <c r="AS14" s="29">
        <f>G14/(100-AT14)*100</f>
        <v>0</v>
      </c>
      <c r="AT14" s="29">
        <v>0</v>
      </c>
      <c r="AU14" s="29">
        <f>L14</f>
        <v>63.632275000000007</v>
      </c>
    </row>
    <row r="15" spans="1:47" x14ac:dyDescent="0.2">
      <c r="D15" s="14" t="s">
        <v>44</v>
      </c>
    </row>
    <row r="16" spans="1:47" x14ac:dyDescent="0.2">
      <c r="A16" s="5"/>
      <c r="B16" s="12"/>
      <c r="C16" s="12" t="s">
        <v>24</v>
      </c>
      <c r="D16" s="66" t="s">
        <v>45</v>
      </c>
      <c r="E16" s="67"/>
      <c r="F16" s="67"/>
      <c r="G16" s="67"/>
      <c r="H16" s="32">
        <f>SUM(H17:H17)</f>
        <v>0</v>
      </c>
      <c r="I16" s="32">
        <f>SUM(I17:I17)</f>
        <v>0</v>
      </c>
      <c r="J16" s="32">
        <f>H16+I16</f>
        <v>0</v>
      </c>
      <c r="K16" s="25"/>
      <c r="L16" s="32">
        <f>SUM(L17:L17)</f>
        <v>0.19400000000000001</v>
      </c>
      <c r="X16" s="25"/>
      <c r="AH16" s="32">
        <f>SUM(Y17:Y17)</f>
        <v>0</v>
      </c>
      <c r="AI16" s="32">
        <f>SUM(Z17:Z17)</f>
        <v>0</v>
      </c>
      <c r="AJ16" s="32">
        <f>SUM(AA17:AA17)</f>
        <v>0</v>
      </c>
    </row>
    <row r="17" spans="1:47" x14ac:dyDescent="0.2">
      <c r="A17" s="4" t="s">
        <v>9</v>
      </c>
      <c r="B17" s="4"/>
      <c r="C17" s="4" t="s">
        <v>25</v>
      </c>
      <c r="D17" s="4" t="s">
        <v>156</v>
      </c>
      <c r="E17" s="4" t="s">
        <v>66</v>
      </c>
      <c r="F17" s="61">
        <v>2</v>
      </c>
      <c r="G17" s="17"/>
      <c r="H17" s="17">
        <f>F17*AD17</f>
        <v>0</v>
      </c>
      <c r="I17" s="17">
        <f>J17-H17</f>
        <v>0</v>
      </c>
      <c r="J17" s="17">
        <f>F17*G17</f>
        <v>0</v>
      </c>
      <c r="K17" s="17">
        <v>9.7000000000000003E-2</v>
      </c>
      <c r="L17" s="17">
        <f>F17*K17</f>
        <v>0.19400000000000001</v>
      </c>
      <c r="O17" s="29">
        <f>IF(AF17="5",J17,0)</f>
        <v>0</v>
      </c>
      <c r="Q17" s="29">
        <f>IF(AF17="1",H17,0)</f>
        <v>0</v>
      </c>
      <c r="R17" s="29">
        <f>IF(AF17="1",I17,0)</f>
        <v>0</v>
      </c>
      <c r="S17" s="29">
        <f>IF(AF17="7",H17,0)</f>
        <v>0</v>
      </c>
      <c r="T17" s="29">
        <f>IF(AF17="7",I17,0)</f>
        <v>0</v>
      </c>
      <c r="U17" s="29">
        <f>IF(AF17="2",H17,0)</f>
        <v>0</v>
      </c>
      <c r="V17" s="29">
        <f>IF(AF17="2",I17,0)</f>
        <v>0</v>
      </c>
      <c r="W17" s="29">
        <f>IF(AF17="0",J17,0)</f>
        <v>0</v>
      </c>
      <c r="X17" s="25"/>
      <c r="Y17" s="17">
        <f>IF(AC17=0,J17,0)</f>
        <v>0</v>
      </c>
      <c r="Z17" s="17">
        <f>IF(AC17=15,J17,0)</f>
        <v>0</v>
      </c>
      <c r="AA17" s="17">
        <f>IF(AC17=21,J17,0)</f>
        <v>0</v>
      </c>
      <c r="AC17" s="29">
        <v>21</v>
      </c>
      <c r="AD17" s="29">
        <f>G17*0.376357056694813</f>
        <v>0</v>
      </c>
      <c r="AE17" s="29">
        <f>G17*(1-0.376357056694813)</f>
        <v>0</v>
      </c>
      <c r="AF17" s="26" t="s">
        <v>13</v>
      </c>
      <c r="AL17" s="29">
        <f>F17*AD17</f>
        <v>0</v>
      </c>
      <c r="AM17" s="29">
        <f>F17*AE17</f>
        <v>0</v>
      </c>
      <c r="AN17" s="30" t="s">
        <v>93</v>
      </c>
      <c r="AO17" s="30" t="s">
        <v>98</v>
      </c>
      <c r="AP17" s="25" t="s">
        <v>102</v>
      </c>
      <c r="AR17" s="29">
        <f>AL17+AM17</f>
        <v>0</v>
      </c>
      <c r="AS17" s="29">
        <f>G17/(100-AT17)*100</f>
        <v>0</v>
      </c>
      <c r="AT17" s="29">
        <v>0</v>
      </c>
      <c r="AU17" s="29">
        <f>L17</f>
        <v>0.19400000000000001</v>
      </c>
    </row>
    <row r="18" spans="1:47" x14ac:dyDescent="0.2">
      <c r="A18" s="5"/>
      <c r="B18" s="12"/>
      <c r="C18" s="12" t="s">
        <v>26</v>
      </c>
      <c r="D18" s="66" t="s">
        <v>46</v>
      </c>
      <c r="E18" s="67"/>
      <c r="F18" s="67"/>
      <c r="G18" s="67"/>
      <c r="H18" s="32">
        <f>SUM(H19:H19)</f>
        <v>0</v>
      </c>
      <c r="I18" s="32">
        <f>SUM(I19:I19)</f>
        <v>0</v>
      </c>
      <c r="J18" s="32">
        <f>H18+I18</f>
        <v>0</v>
      </c>
      <c r="K18" s="25"/>
      <c r="L18" s="32">
        <f>SUM(L19:L19)</f>
        <v>0.74480600000000008</v>
      </c>
      <c r="X18" s="25"/>
      <c r="AH18" s="32">
        <f>SUM(Y19:Y19)</f>
        <v>0</v>
      </c>
      <c r="AI18" s="32">
        <f>SUM(Z19:Z19)</f>
        <v>0</v>
      </c>
      <c r="AJ18" s="32">
        <f>SUM(AA19:AA19)</f>
        <v>0</v>
      </c>
    </row>
    <row r="19" spans="1:47" x14ac:dyDescent="0.2">
      <c r="A19" s="4" t="s">
        <v>10</v>
      </c>
      <c r="B19" s="4"/>
      <c r="C19" s="4" t="s">
        <v>27</v>
      </c>
      <c r="D19" s="4" t="s">
        <v>157</v>
      </c>
      <c r="E19" s="4" t="s">
        <v>64</v>
      </c>
      <c r="F19" s="61">
        <v>29.3</v>
      </c>
      <c r="G19" s="17"/>
      <c r="H19" s="17">
        <f>F19*AD19</f>
        <v>0</v>
      </c>
      <c r="I19" s="17">
        <f>J19-H19</f>
        <v>0</v>
      </c>
      <c r="J19" s="17">
        <f>F19*G19</f>
        <v>0</v>
      </c>
      <c r="K19" s="17">
        <v>2.5420000000000002E-2</v>
      </c>
      <c r="L19" s="17">
        <f>F19*K19</f>
        <v>0.74480600000000008</v>
      </c>
      <c r="O19" s="29">
        <f>IF(AF19="5",J19,0)</f>
        <v>0</v>
      </c>
      <c r="Q19" s="29">
        <f>IF(AF19="1",H19,0)</f>
        <v>0</v>
      </c>
      <c r="R19" s="29">
        <f>IF(AF19="1",I19,0)</f>
        <v>0</v>
      </c>
      <c r="S19" s="29">
        <f>IF(AF19="7",H19,0)</f>
        <v>0</v>
      </c>
      <c r="T19" s="29">
        <f>IF(AF19="7",I19,0)</f>
        <v>0</v>
      </c>
      <c r="U19" s="29">
        <f>IF(AF19="2",H19,0)</f>
        <v>0</v>
      </c>
      <c r="V19" s="29">
        <f>IF(AF19="2",I19,0)</f>
        <v>0</v>
      </c>
      <c r="W19" s="29">
        <f>IF(AF19="0",J19,0)</f>
        <v>0</v>
      </c>
      <c r="X19" s="25"/>
      <c r="Y19" s="17">
        <f>IF(AC19=0,J19,0)</f>
        <v>0</v>
      </c>
      <c r="Z19" s="17">
        <f>IF(AC19=15,J19,0)</f>
        <v>0</v>
      </c>
      <c r="AA19" s="17">
        <f>IF(AC19=21,J19,0)</f>
        <v>0</v>
      </c>
      <c r="AC19" s="29">
        <v>21</v>
      </c>
      <c r="AD19" s="29">
        <f>G19*0.555431872751861</f>
        <v>0</v>
      </c>
      <c r="AE19" s="29">
        <f>G19*(1-0.555431872751861)</f>
        <v>0</v>
      </c>
      <c r="AF19" s="26" t="s">
        <v>13</v>
      </c>
      <c r="AL19" s="29">
        <f>F19*AD19</f>
        <v>0</v>
      </c>
      <c r="AM19" s="29">
        <f>F19*AE19</f>
        <v>0</v>
      </c>
      <c r="AN19" s="30" t="s">
        <v>94</v>
      </c>
      <c r="AO19" s="30" t="s">
        <v>99</v>
      </c>
      <c r="AP19" s="25" t="s">
        <v>102</v>
      </c>
      <c r="AR19" s="29">
        <f>AL19+AM19</f>
        <v>0</v>
      </c>
      <c r="AS19" s="29">
        <f>G19/(100-AT19)*100</f>
        <v>0</v>
      </c>
      <c r="AT19" s="29">
        <v>0</v>
      </c>
      <c r="AU19" s="29">
        <f>L19</f>
        <v>0.74480600000000008</v>
      </c>
    </row>
    <row r="20" spans="1:47" x14ac:dyDescent="0.2">
      <c r="D20" s="14" t="s">
        <v>47</v>
      </c>
    </row>
    <row r="21" spans="1:47" x14ac:dyDescent="0.2">
      <c r="A21" s="5"/>
      <c r="B21" s="12"/>
      <c r="C21" s="12" t="s">
        <v>28</v>
      </c>
      <c r="D21" s="66" t="s">
        <v>48</v>
      </c>
      <c r="E21" s="67"/>
      <c r="F21" s="67"/>
      <c r="G21" s="67"/>
      <c r="H21" s="32">
        <f>SUM(H22:H26)</f>
        <v>0</v>
      </c>
      <c r="I21" s="32">
        <f>SUM(I22:I26)</f>
        <v>0</v>
      </c>
      <c r="J21" s="32">
        <f>H21+I21</f>
        <v>0</v>
      </c>
      <c r="K21" s="25"/>
      <c r="L21" s="32">
        <f>SUM(L22:L26)</f>
        <v>2.3340249999999996</v>
      </c>
      <c r="X21" s="25"/>
      <c r="AH21" s="32">
        <f>SUM(Y22:Y26)</f>
        <v>0</v>
      </c>
      <c r="AI21" s="32">
        <f>SUM(Z22:Z26)</f>
        <v>0</v>
      </c>
      <c r="AJ21" s="32">
        <f>SUM(AA22:AA26)</f>
        <v>0</v>
      </c>
    </row>
    <row r="22" spans="1:47" x14ac:dyDescent="0.2">
      <c r="A22" s="4" t="s">
        <v>11</v>
      </c>
      <c r="B22" s="4"/>
      <c r="C22" s="4" t="s">
        <v>29</v>
      </c>
      <c r="D22" s="4" t="s">
        <v>49</v>
      </c>
      <c r="E22" s="4" t="s">
        <v>64</v>
      </c>
      <c r="F22" s="61">
        <v>20.5</v>
      </c>
      <c r="G22" s="17"/>
      <c r="H22" s="17">
        <f>F22*AD22</f>
        <v>0</v>
      </c>
      <c r="I22" s="17">
        <f>J22-H22</f>
        <v>0</v>
      </c>
      <c r="J22" s="17">
        <f>F22*G22</f>
        <v>0</v>
      </c>
      <c r="K22" s="17">
        <v>4.4600000000000001E-2</v>
      </c>
      <c r="L22" s="17">
        <f>F22*K22</f>
        <v>0.9143</v>
      </c>
      <c r="O22" s="29">
        <f>IF(AF22="5",J22,0)</f>
        <v>0</v>
      </c>
      <c r="Q22" s="29">
        <f>IF(AF22="1",H22,0)</f>
        <v>0</v>
      </c>
      <c r="R22" s="29">
        <f>IF(AF22="1",I22,0)</f>
        <v>0</v>
      </c>
      <c r="S22" s="29">
        <f>IF(AF22="7",H22,0)</f>
        <v>0</v>
      </c>
      <c r="T22" s="29">
        <f>IF(AF22="7",I22,0)</f>
        <v>0</v>
      </c>
      <c r="U22" s="29">
        <f>IF(AF22="2",H22,0)</f>
        <v>0</v>
      </c>
      <c r="V22" s="29">
        <f>IF(AF22="2",I22,0)</f>
        <v>0</v>
      </c>
      <c r="W22" s="29">
        <f>IF(AF22="0",J22,0)</f>
        <v>0</v>
      </c>
      <c r="X22" s="25"/>
      <c r="Y22" s="17">
        <f>IF(AC22=0,J22,0)</f>
        <v>0</v>
      </c>
      <c r="Z22" s="17">
        <f>IF(AC22=15,J22,0)</f>
        <v>0</v>
      </c>
      <c r="AA22" s="17">
        <f>IF(AC22=21,J22,0)</f>
        <v>0</v>
      </c>
      <c r="AC22" s="29">
        <v>21</v>
      </c>
      <c r="AD22" s="29">
        <f>G22*0.394280072613778</f>
        <v>0</v>
      </c>
      <c r="AE22" s="29">
        <f>G22*(1-0.394280072613778)</f>
        <v>0</v>
      </c>
      <c r="AF22" s="26" t="s">
        <v>13</v>
      </c>
      <c r="AL22" s="29">
        <f>F22*AD22</f>
        <v>0</v>
      </c>
      <c r="AM22" s="29">
        <f>F22*AE22</f>
        <v>0</v>
      </c>
      <c r="AN22" s="30" t="s">
        <v>95</v>
      </c>
      <c r="AO22" s="30" t="s">
        <v>100</v>
      </c>
      <c r="AP22" s="25" t="s">
        <v>102</v>
      </c>
      <c r="AR22" s="29">
        <f>AL22+AM22</f>
        <v>0</v>
      </c>
      <c r="AS22" s="29">
        <f>G22/(100-AT22)*100</f>
        <v>0</v>
      </c>
      <c r="AT22" s="29">
        <v>0</v>
      </c>
      <c r="AU22" s="29">
        <f>L22</f>
        <v>0.9143</v>
      </c>
    </row>
    <row r="23" spans="1:47" x14ac:dyDescent="0.2">
      <c r="D23" s="14" t="s">
        <v>50</v>
      </c>
    </row>
    <row r="24" spans="1:47" x14ac:dyDescent="0.2">
      <c r="A24" s="4" t="s">
        <v>12</v>
      </c>
      <c r="B24" s="4"/>
      <c r="C24" s="4" t="s">
        <v>30</v>
      </c>
      <c r="D24" s="4" t="s">
        <v>51</v>
      </c>
      <c r="E24" s="4" t="s">
        <v>64</v>
      </c>
      <c r="F24" s="61">
        <v>0.7</v>
      </c>
      <c r="G24" s="17"/>
      <c r="H24" s="17">
        <f>F24*AD24</f>
        <v>0</v>
      </c>
      <c r="I24" s="17">
        <f>J24-H24</f>
        <v>0</v>
      </c>
      <c r="J24" s="17">
        <f>F24*G24</f>
        <v>0</v>
      </c>
      <c r="K24" s="17">
        <v>3.7799999999999999E-3</v>
      </c>
      <c r="L24" s="17">
        <f>F24*K24</f>
        <v>2.6459999999999999E-3</v>
      </c>
      <c r="O24" s="29">
        <f>IF(AF24="5",J24,0)</f>
        <v>0</v>
      </c>
      <c r="Q24" s="29">
        <f>IF(AF24="1",H24,0)</f>
        <v>0</v>
      </c>
      <c r="R24" s="29">
        <f>IF(AF24="1",I24,0)</f>
        <v>0</v>
      </c>
      <c r="S24" s="29">
        <f>IF(AF24="7",H24,0)</f>
        <v>0</v>
      </c>
      <c r="T24" s="29">
        <f>IF(AF24="7",I24,0)</f>
        <v>0</v>
      </c>
      <c r="U24" s="29">
        <f>IF(AF24="2",H24,0)</f>
        <v>0</v>
      </c>
      <c r="V24" s="29">
        <f>IF(AF24="2",I24,0)</f>
        <v>0</v>
      </c>
      <c r="W24" s="29">
        <f>IF(AF24="0",J24,0)</f>
        <v>0</v>
      </c>
      <c r="X24" s="25"/>
      <c r="Y24" s="17">
        <f>IF(AC24=0,J24,0)</f>
        <v>0</v>
      </c>
      <c r="Z24" s="17">
        <f>IF(AC24=15,J24,0)</f>
        <v>0</v>
      </c>
      <c r="AA24" s="17">
        <f>IF(AC24=21,J24,0)</f>
        <v>0</v>
      </c>
      <c r="AC24" s="29">
        <v>21</v>
      </c>
      <c r="AD24" s="29">
        <f>G24*0.154592686991471</f>
        <v>0</v>
      </c>
      <c r="AE24" s="29">
        <f>G24*(1-0.154592686991471)</f>
        <v>0</v>
      </c>
      <c r="AF24" s="26" t="s">
        <v>13</v>
      </c>
      <c r="AL24" s="29">
        <f>F24*AD24</f>
        <v>0</v>
      </c>
      <c r="AM24" s="29">
        <f>F24*AE24</f>
        <v>0</v>
      </c>
      <c r="AN24" s="30" t="s">
        <v>95</v>
      </c>
      <c r="AO24" s="30" t="s">
        <v>100</v>
      </c>
      <c r="AP24" s="25" t="s">
        <v>102</v>
      </c>
      <c r="AR24" s="29">
        <f>AL24+AM24</f>
        <v>0</v>
      </c>
      <c r="AS24" s="29">
        <f>G24/(100-AT24)*100</f>
        <v>0</v>
      </c>
      <c r="AT24" s="29">
        <v>0</v>
      </c>
      <c r="AU24" s="29">
        <f>L24</f>
        <v>2.6459999999999999E-3</v>
      </c>
    </row>
    <row r="25" spans="1:47" x14ac:dyDescent="0.2">
      <c r="D25" s="14" t="s">
        <v>52</v>
      </c>
    </row>
    <row r="26" spans="1:47" x14ac:dyDescent="0.2">
      <c r="A26" s="4" t="s">
        <v>13</v>
      </c>
      <c r="B26" s="4"/>
      <c r="C26" s="4" t="s">
        <v>31</v>
      </c>
      <c r="D26" s="4" t="s">
        <v>158</v>
      </c>
      <c r="E26" s="4" t="s">
        <v>64</v>
      </c>
      <c r="F26" s="61">
        <v>19.899999999999999</v>
      </c>
      <c r="G26" s="17"/>
      <c r="H26" s="17">
        <f>F26*AD26</f>
        <v>0</v>
      </c>
      <c r="I26" s="17">
        <f>J26-H26</f>
        <v>0</v>
      </c>
      <c r="J26" s="17">
        <f>F26*G26</f>
        <v>0</v>
      </c>
      <c r="K26" s="17">
        <v>7.1209999999999996E-2</v>
      </c>
      <c r="L26" s="17">
        <f>F26*K26</f>
        <v>1.4170789999999998</v>
      </c>
      <c r="O26" s="29">
        <f>IF(AF26="5",J26,0)</f>
        <v>0</v>
      </c>
      <c r="Q26" s="29">
        <f>IF(AF26="1",H26,0)</f>
        <v>0</v>
      </c>
      <c r="R26" s="29">
        <f>IF(AF26="1",I26,0)</f>
        <v>0</v>
      </c>
      <c r="S26" s="29">
        <f>IF(AF26="7",H26,0)</f>
        <v>0</v>
      </c>
      <c r="T26" s="29">
        <f>IF(AF26="7",I26,0)</f>
        <v>0</v>
      </c>
      <c r="U26" s="29">
        <f>IF(AF26="2",H26,0)</f>
        <v>0</v>
      </c>
      <c r="V26" s="29">
        <f>IF(AF26="2",I26,0)</f>
        <v>0</v>
      </c>
      <c r="W26" s="29">
        <f>IF(AF26="0",J26,0)</f>
        <v>0</v>
      </c>
      <c r="X26" s="25"/>
      <c r="Y26" s="17">
        <f>IF(AC26=0,J26,0)</f>
        <v>0</v>
      </c>
      <c r="Z26" s="17">
        <f>IF(AC26=15,J26,0)</f>
        <v>0</v>
      </c>
      <c r="AA26" s="17">
        <f>IF(AC26=21,J26,0)</f>
        <v>0</v>
      </c>
      <c r="AC26" s="29">
        <v>21</v>
      </c>
      <c r="AD26" s="29">
        <f>G26*0.460070335164784</f>
        <v>0</v>
      </c>
      <c r="AE26" s="29">
        <f>G26*(1-0.460070335164784)</f>
        <v>0</v>
      </c>
      <c r="AF26" s="26" t="s">
        <v>13</v>
      </c>
      <c r="AL26" s="29">
        <f>F26*AD26</f>
        <v>0</v>
      </c>
      <c r="AM26" s="29">
        <f>F26*AE26</f>
        <v>0</v>
      </c>
      <c r="AN26" s="30" t="s">
        <v>95</v>
      </c>
      <c r="AO26" s="30" t="s">
        <v>100</v>
      </c>
      <c r="AP26" s="25" t="s">
        <v>102</v>
      </c>
      <c r="AR26" s="29">
        <f>AL26+AM26</f>
        <v>0</v>
      </c>
      <c r="AS26" s="29">
        <f>G26/(100-AT26)*100</f>
        <v>0</v>
      </c>
      <c r="AT26" s="29">
        <v>0</v>
      </c>
      <c r="AU26" s="29">
        <f>L26</f>
        <v>1.4170789999999998</v>
      </c>
    </row>
    <row r="27" spans="1:47" x14ac:dyDescent="0.2">
      <c r="A27" s="5"/>
      <c r="B27" s="12"/>
      <c r="C27" s="12" t="s">
        <v>32</v>
      </c>
      <c r="D27" s="66" t="s">
        <v>53</v>
      </c>
      <c r="E27" s="67"/>
      <c r="F27" s="67"/>
      <c r="G27" s="67"/>
      <c r="H27" s="32">
        <f>SUM(H28:H32)</f>
        <v>0</v>
      </c>
      <c r="I27" s="32">
        <f>SUM(I28:I32)</f>
        <v>0</v>
      </c>
      <c r="J27" s="32">
        <f>H27+I27</f>
        <v>0</v>
      </c>
      <c r="K27" s="25"/>
      <c r="L27" s="32">
        <f>SUM(L28:L32)</f>
        <v>7.6965000000000003</v>
      </c>
      <c r="X27" s="25"/>
      <c r="AH27" s="32">
        <f>SUM(Y28:Y32)</f>
        <v>0</v>
      </c>
      <c r="AI27" s="32">
        <f>SUM(Z28:Z32)</f>
        <v>0</v>
      </c>
      <c r="AJ27" s="32">
        <f>SUM(AA28:AA32)</f>
        <v>0</v>
      </c>
    </row>
    <row r="28" spans="1:47" x14ac:dyDescent="0.2">
      <c r="A28" s="4" t="s">
        <v>14</v>
      </c>
      <c r="B28" s="4"/>
      <c r="C28" s="4" t="s">
        <v>33</v>
      </c>
      <c r="D28" s="4" t="s">
        <v>54</v>
      </c>
      <c r="E28" s="4" t="s">
        <v>64</v>
      </c>
      <c r="F28" s="61">
        <v>29.3</v>
      </c>
      <c r="G28" s="17"/>
      <c r="H28" s="17">
        <f>F28*AD28</f>
        <v>0</v>
      </c>
      <c r="I28" s="17">
        <f>J28-H28</f>
        <v>0</v>
      </c>
      <c r="J28" s="17">
        <f>F28*G28</f>
        <v>0</v>
      </c>
      <c r="K28" s="17">
        <v>0.22</v>
      </c>
      <c r="L28" s="17">
        <f>F28*K28</f>
        <v>6.4460000000000006</v>
      </c>
      <c r="O28" s="29">
        <f>IF(AF28="5",J28,0)</f>
        <v>0</v>
      </c>
      <c r="Q28" s="29">
        <f>IF(AF28="1",H28,0)</f>
        <v>0</v>
      </c>
      <c r="R28" s="29">
        <f>IF(AF28="1",I28,0)</f>
        <v>0</v>
      </c>
      <c r="S28" s="29">
        <f>IF(AF28="7",H28,0)</f>
        <v>0</v>
      </c>
      <c r="T28" s="29">
        <f>IF(AF28="7",I28,0)</f>
        <v>0</v>
      </c>
      <c r="U28" s="29">
        <f>IF(AF28="2",H28,0)</f>
        <v>0</v>
      </c>
      <c r="V28" s="29">
        <f>IF(AF28="2",I28,0)</f>
        <v>0</v>
      </c>
      <c r="W28" s="29">
        <f>IF(AF28="0",J28,0)</f>
        <v>0</v>
      </c>
      <c r="X28" s="25"/>
      <c r="Y28" s="17">
        <f>IF(AC28=0,J28,0)</f>
        <v>0</v>
      </c>
      <c r="Z28" s="17">
        <f>IF(AC28=15,J28,0)</f>
        <v>0</v>
      </c>
      <c r="AA28" s="17">
        <f>IF(AC28=21,J28,0)</f>
        <v>0</v>
      </c>
      <c r="AC28" s="29">
        <v>21</v>
      </c>
      <c r="AD28" s="29">
        <f>G28*0</f>
        <v>0</v>
      </c>
      <c r="AE28" s="29">
        <f>G28*(1-0)</f>
        <v>0</v>
      </c>
      <c r="AF28" s="26" t="s">
        <v>7</v>
      </c>
      <c r="AL28" s="29">
        <f>F28*AD28</f>
        <v>0</v>
      </c>
      <c r="AM28" s="29">
        <f>F28*AE28</f>
        <v>0</v>
      </c>
      <c r="AN28" s="30" t="s">
        <v>96</v>
      </c>
      <c r="AO28" s="30" t="s">
        <v>101</v>
      </c>
      <c r="AP28" s="25" t="s">
        <v>102</v>
      </c>
      <c r="AR28" s="29">
        <f>AL28+AM28</f>
        <v>0</v>
      </c>
      <c r="AS28" s="29">
        <f>G28/(100-AT28)*100</f>
        <v>0</v>
      </c>
      <c r="AT28" s="29">
        <v>0</v>
      </c>
      <c r="AU28" s="29">
        <f>L28</f>
        <v>6.4460000000000006</v>
      </c>
    </row>
    <row r="29" spans="1:47" x14ac:dyDescent="0.2">
      <c r="D29" s="14" t="s">
        <v>55</v>
      </c>
    </row>
    <row r="30" spans="1:47" x14ac:dyDescent="0.2">
      <c r="A30" s="4" t="s">
        <v>15</v>
      </c>
      <c r="B30" s="4"/>
      <c r="C30" s="4" t="s">
        <v>34</v>
      </c>
      <c r="D30" s="4" t="s">
        <v>56</v>
      </c>
      <c r="E30" s="4" t="s">
        <v>64</v>
      </c>
      <c r="F30" s="61">
        <v>20.5</v>
      </c>
      <c r="G30" s="17"/>
      <c r="H30" s="17">
        <f>F30*AD30</f>
        <v>0</v>
      </c>
      <c r="I30" s="17">
        <f>J30-H30</f>
        <v>0</v>
      </c>
      <c r="J30" s="17">
        <f>F30*G30</f>
        <v>0</v>
      </c>
      <c r="K30" s="17">
        <v>6.0999999999999999E-2</v>
      </c>
      <c r="L30" s="17">
        <f>F30*K30</f>
        <v>1.2504999999999999</v>
      </c>
      <c r="O30" s="29">
        <f>IF(AF30="5",J30,0)</f>
        <v>0</v>
      </c>
      <c r="Q30" s="29">
        <f>IF(AF30="1",H30,0)</f>
        <v>0</v>
      </c>
      <c r="R30" s="29">
        <f>IF(AF30="1",I30,0)</f>
        <v>0</v>
      </c>
      <c r="S30" s="29">
        <f>IF(AF30="7",H30,0)</f>
        <v>0</v>
      </c>
      <c r="T30" s="29">
        <f>IF(AF30="7",I30,0)</f>
        <v>0</v>
      </c>
      <c r="U30" s="29">
        <f>IF(AF30="2",H30,0)</f>
        <v>0</v>
      </c>
      <c r="V30" s="29">
        <f>IF(AF30="2",I30,0)</f>
        <v>0</v>
      </c>
      <c r="W30" s="29">
        <f>IF(AF30="0",J30,0)</f>
        <v>0</v>
      </c>
      <c r="X30" s="25"/>
      <c r="Y30" s="17">
        <f>IF(AC30=0,J30,0)</f>
        <v>0</v>
      </c>
      <c r="Z30" s="17">
        <f>IF(AC30=15,J30,0)</f>
        <v>0</v>
      </c>
      <c r="AA30" s="17">
        <f>IF(AC30=21,J30,0)</f>
        <v>0</v>
      </c>
      <c r="AC30" s="29">
        <v>21</v>
      </c>
      <c r="AD30" s="29">
        <f>G30*0</f>
        <v>0</v>
      </c>
      <c r="AE30" s="29">
        <f>G30*(1-0)</f>
        <v>0</v>
      </c>
      <c r="AF30" s="26" t="s">
        <v>7</v>
      </c>
      <c r="AL30" s="29">
        <f>F30*AD30</f>
        <v>0</v>
      </c>
      <c r="AM30" s="29">
        <f>F30*AE30</f>
        <v>0</v>
      </c>
      <c r="AN30" s="30" t="s">
        <v>96</v>
      </c>
      <c r="AO30" s="30" t="s">
        <v>101</v>
      </c>
      <c r="AP30" s="25" t="s">
        <v>102</v>
      </c>
      <c r="AR30" s="29">
        <f>AL30+AM30</f>
        <v>0</v>
      </c>
      <c r="AS30" s="29">
        <f>G30/(100-AT30)*100</f>
        <v>0</v>
      </c>
      <c r="AT30" s="29">
        <v>0</v>
      </c>
      <c r="AU30" s="29">
        <f>L30</f>
        <v>1.2504999999999999</v>
      </c>
    </row>
    <row r="31" spans="1:47" x14ac:dyDescent="0.2">
      <c r="A31" s="4" t="s">
        <v>16</v>
      </c>
      <c r="B31" s="4"/>
      <c r="C31" s="4" t="s">
        <v>35</v>
      </c>
      <c r="D31" s="4" t="s">
        <v>57</v>
      </c>
      <c r="E31" s="4" t="s">
        <v>67</v>
      </c>
      <c r="F31" s="61">
        <v>7.6970000000000001</v>
      </c>
      <c r="G31" s="17"/>
      <c r="H31" s="17">
        <f>F31*AD31</f>
        <v>0</v>
      </c>
      <c r="I31" s="17">
        <f>J31-H31</f>
        <v>0</v>
      </c>
      <c r="J31" s="17">
        <f>F31*G31</f>
        <v>0</v>
      </c>
      <c r="K31" s="17">
        <v>0</v>
      </c>
      <c r="L31" s="17">
        <f>F31*K31</f>
        <v>0</v>
      </c>
      <c r="O31" s="29">
        <f>IF(AF31="5",J31,0)</f>
        <v>0</v>
      </c>
      <c r="Q31" s="29">
        <f>IF(AF31="1",H31,0)</f>
        <v>0</v>
      </c>
      <c r="R31" s="29">
        <f>IF(AF31="1",I31,0)</f>
        <v>0</v>
      </c>
      <c r="S31" s="29">
        <f>IF(AF31="7",H31,0)</f>
        <v>0</v>
      </c>
      <c r="T31" s="29">
        <f>IF(AF31="7",I31,0)</f>
        <v>0</v>
      </c>
      <c r="U31" s="29">
        <f>IF(AF31="2",H31,0)</f>
        <v>0</v>
      </c>
      <c r="V31" s="29">
        <f>IF(AF31="2",I31,0)</f>
        <v>0</v>
      </c>
      <c r="W31" s="29">
        <f>IF(AF31="0",J31,0)</f>
        <v>0</v>
      </c>
      <c r="X31" s="25"/>
      <c r="Y31" s="17">
        <f>IF(AC31=0,J31,0)</f>
        <v>0</v>
      </c>
      <c r="Z31" s="17">
        <f>IF(AC31=15,J31,0)</f>
        <v>0</v>
      </c>
      <c r="AA31" s="17">
        <f>IF(AC31=21,J31,0)</f>
        <v>0</v>
      </c>
      <c r="AC31" s="29">
        <v>21</v>
      </c>
      <c r="AD31" s="29">
        <f>G31*0.00936537667862472</f>
        <v>0</v>
      </c>
      <c r="AE31" s="29">
        <f>G31*(1-0.00936537667862472)</f>
        <v>0</v>
      </c>
      <c r="AF31" s="26" t="s">
        <v>11</v>
      </c>
      <c r="AL31" s="29">
        <f>F31*AD31</f>
        <v>0</v>
      </c>
      <c r="AM31" s="29">
        <f>F31*AE31</f>
        <v>0</v>
      </c>
      <c r="AN31" s="30" t="s">
        <v>96</v>
      </c>
      <c r="AO31" s="30" t="s">
        <v>101</v>
      </c>
      <c r="AP31" s="25" t="s">
        <v>102</v>
      </c>
      <c r="AR31" s="29">
        <f>AL31+AM31</f>
        <v>0</v>
      </c>
      <c r="AS31" s="29">
        <f>G31/(100-AT31)*100</f>
        <v>0</v>
      </c>
      <c r="AT31" s="29">
        <v>0</v>
      </c>
      <c r="AU31" s="29">
        <f>L31</f>
        <v>0</v>
      </c>
    </row>
    <row r="32" spans="1:47" x14ac:dyDescent="0.2">
      <c r="A32" s="6" t="s">
        <v>17</v>
      </c>
      <c r="B32" s="6"/>
      <c r="C32" s="6" t="s">
        <v>36</v>
      </c>
      <c r="D32" s="6" t="s">
        <v>58</v>
      </c>
      <c r="E32" s="6" t="s">
        <v>67</v>
      </c>
      <c r="F32" s="62">
        <v>2.4239999999999999</v>
      </c>
      <c r="G32" s="18"/>
      <c r="H32" s="18">
        <f>F32*AD32</f>
        <v>0</v>
      </c>
      <c r="I32" s="18">
        <f>J32-H32</f>
        <v>0</v>
      </c>
      <c r="J32" s="18">
        <f>F32*G32</f>
        <v>0</v>
      </c>
      <c r="K32" s="18">
        <v>0</v>
      </c>
      <c r="L32" s="18">
        <f>F32*K32</f>
        <v>0</v>
      </c>
      <c r="O32" s="29">
        <f>IF(AF32="5",J32,0)</f>
        <v>0</v>
      </c>
      <c r="Q32" s="29">
        <f>IF(AF32="1",H32,0)</f>
        <v>0</v>
      </c>
      <c r="R32" s="29">
        <f>IF(AF32="1",I32,0)</f>
        <v>0</v>
      </c>
      <c r="S32" s="29">
        <f>IF(AF32="7",H32,0)</f>
        <v>0</v>
      </c>
      <c r="T32" s="29">
        <f>IF(AF32="7",I32,0)</f>
        <v>0</v>
      </c>
      <c r="U32" s="29">
        <f>IF(AF32="2",H32,0)</f>
        <v>0</v>
      </c>
      <c r="V32" s="29">
        <f>IF(AF32="2",I32,0)</f>
        <v>0</v>
      </c>
      <c r="W32" s="29">
        <f>IF(AF32="0",J32,0)</f>
        <v>0</v>
      </c>
      <c r="X32" s="25"/>
      <c r="Y32" s="17">
        <f>IF(AC32=0,J32,0)</f>
        <v>0</v>
      </c>
      <c r="Z32" s="17">
        <f>IF(AC32=15,J32,0)</f>
        <v>0</v>
      </c>
      <c r="AA32" s="17">
        <f>IF(AC32=21,J32,0)</f>
        <v>0</v>
      </c>
      <c r="AC32" s="29">
        <v>21</v>
      </c>
      <c r="AD32" s="29">
        <f>G32*0</f>
        <v>0</v>
      </c>
      <c r="AE32" s="29">
        <f>G32*(1-0)</f>
        <v>0</v>
      </c>
      <c r="AF32" s="26" t="s">
        <v>11</v>
      </c>
      <c r="AL32" s="29">
        <f>F32*AD32</f>
        <v>0</v>
      </c>
      <c r="AM32" s="29">
        <f>F32*AE32</f>
        <v>0</v>
      </c>
      <c r="AN32" s="30" t="s">
        <v>96</v>
      </c>
      <c r="AO32" s="30" t="s">
        <v>101</v>
      </c>
      <c r="AP32" s="25" t="s">
        <v>102</v>
      </c>
      <c r="AR32" s="29">
        <f>AL32+AM32</f>
        <v>0</v>
      </c>
      <c r="AS32" s="29">
        <f>G32/(100-AT32)*100</f>
        <v>0</v>
      </c>
      <c r="AT32" s="29">
        <v>0</v>
      </c>
      <c r="AU32" s="29">
        <f>L32</f>
        <v>0</v>
      </c>
    </row>
    <row r="33" spans="1:12" x14ac:dyDescent="0.2">
      <c r="A33" s="7"/>
      <c r="B33" s="7"/>
      <c r="C33" s="7"/>
      <c r="D33" s="7"/>
      <c r="E33" s="7"/>
      <c r="F33" s="7"/>
      <c r="G33" s="7"/>
      <c r="H33" s="68" t="s">
        <v>73</v>
      </c>
      <c r="I33" s="69"/>
      <c r="J33" s="33">
        <f>ROUND(J12+J16+J18+J21+J27,0)</f>
        <v>0</v>
      </c>
      <c r="K33" s="7"/>
      <c r="L33" s="7"/>
    </row>
    <row r="34" spans="1:12" ht="11.25" customHeight="1" x14ac:dyDescent="0.2">
      <c r="A34" s="8" t="s">
        <v>18</v>
      </c>
    </row>
    <row r="35" spans="1:12" x14ac:dyDescent="0.2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</row>
  </sheetData>
  <mergeCells count="34">
    <mergeCell ref="A1:L1"/>
    <mergeCell ref="A2:C3"/>
    <mergeCell ref="D2:D3"/>
    <mergeCell ref="E2:F3"/>
    <mergeCell ref="G2:H3"/>
    <mergeCell ref="I2:I3"/>
    <mergeCell ref="J2:L3"/>
    <mergeCell ref="J4:L5"/>
    <mergeCell ref="A6:C7"/>
    <mergeCell ref="D6:D7"/>
    <mergeCell ref="E6:F7"/>
    <mergeCell ref="G6:H7"/>
    <mergeCell ref="I6:I7"/>
    <mergeCell ref="J6:L7"/>
    <mergeCell ref="A4:C5"/>
    <mergeCell ref="D4:D5"/>
    <mergeCell ref="E4:F5"/>
    <mergeCell ref="G4:H5"/>
    <mergeCell ref="I4:I5"/>
    <mergeCell ref="J8:L9"/>
    <mergeCell ref="D27:G27"/>
    <mergeCell ref="H33:I33"/>
    <mergeCell ref="A35:L35"/>
    <mergeCell ref="H10:J10"/>
    <mergeCell ref="K10:L10"/>
    <mergeCell ref="D12:G12"/>
    <mergeCell ref="D16:G16"/>
    <mergeCell ref="D18:G18"/>
    <mergeCell ref="D21:G21"/>
    <mergeCell ref="A8:C9"/>
    <mergeCell ref="D8:D9"/>
    <mergeCell ref="E8:F9"/>
    <mergeCell ref="G8:H9"/>
    <mergeCell ref="I8:I9"/>
  </mergeCells>
  <pageMargins left="0.39400000000000002" right="0.39400000000000002" top="0.59099999999999997" bottom="0.59099999999999997" header="0.5" footer="0.5"/>
  <pageSetup paperSize="9" scale="8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7"/>
  <sheetViews>
    <sheetView workbookViewId="0">
      <selection activeCell="E8" sqref="E8:G9"/>
    </sheetView>
  </sheetViews>
  <sheetFormatPr defaultColWidth="11.5703125" defaultRowHeight="12.75" x14ac:dyDescent="0.2"/>
  <cols>
    <col min="1" max="2" width="16.5703125" customWidth="1"/>
    <col min="3" max="3" width="41.7109375" customWidth="1"/>
    <col min="4" max="4" width="22.140625" customWidth="1"/>
    <col min="5" max="5" width="21" customWidth="1"/>
    <col min="6" max="6" width="20.85546875" customWidth="1"/>
    <col min="7" max="7" width="19.7109375" customWidth="1"/>
    <col min="8" max="9" width="0" hidden="1" customWidth="1"/>
  </cols>
  <sheetData>
    <row r="1" spans="1:9" ht="72.95" customHeight="1" x14ac:dyDescent="0.35">
      <c r="A1" s="80" t="s">
        <v>103</v>
      </c>
      <c r="B1" s="81"/>
      <c r="C1" s="81"/>
      <c r="D1" s="81"/>
      <c r="E1" s="81"/>
      <c r="F1" s="81"/>
      <c r="G1" s="81"/>
    </row>
    <row r="2" spans="1:9" x14ac:dyDescent="0.2">
      <c r="A2" s="82" t="s">
        <v>1</v>
      </c>
      <c r="B2" s="84" t="s">
        <v>37</v>
      </c>
      <c r="C2" s="69"/>
      <c r="D2" s="87" t="s">
        <v>74</v>
      </c>
      <c r="E2" s="87" t="s">
        <v>38</v>
      </c>
      <c r="F2" s="83"/>
      <c r="G2" s="90"/>
      <c r="H2" s="27"/>
    </row>
    <row r="3" spans="1:9" x14ac:dyDescent="0.2">
      <c r="A3" s="79"/>
      <c r="B3" s="85"/>
      <c r="C3" s="85"/>
      <c r="D3" s="64"/>
      <c r="E3" s="64"/>
      <c r="F3" s="64"/>
      <c r="G3" s="88"/>
      <c r="H3" s="27"/>
    </row>
    <row r="4" spans="1:9" x14ac:dyDescent="0.2">
      <c r="A4" s="75" t="s">
        <v>2</v>
      </c>
      <c r="B4" s="63"/>
      <c r="C4" s="64"/>
      <c r="D4" s="63" t="s">
        <v>75</v>
      </c>
      <c r="E4" s="63"/>
      <c r="F4" s="64"/>
      <c r="G4" s="88"/>
      <c r="H4" s="27"/>
    </row>
    <row r="5" spans="1:9" x14ac:dyDescent="0.2">
      <c r="A5" s="79"/>
      <c r="B5" s="64"/>
      <c r="C5" s="64"/>
      <c r="D5" s="64"/>
      <c r="E5" s="64"/>
      <c r="F5" s="64"/>
      <c r="G5" s="88"/>
      <c r="H5" s="27"/>
    </row>
    <row r="6" spans="1:9" x14ac:dyDescent="0.2">
      <c r="A6" s="75" t="s">
        <v>3</v>
      </c>
      <c r="B6" s="63" t="s">
        <v>38</v>
      </c>
      <c r="C6" s="64"/>
      <c r="D6" s="63" t="s">
        <v>76</v>
      </c>
      <c r="E6" s="63" t="s">
        <v>79</v>
      </c>
      <c r="F6" s="64"/>
      <c r="G6" s="88"/>
      <c r="H6" s="27"/>
    </row>
    <row r="7" spans="1:9" x14ac:dyDescent="0.2">
      <c r="A7" s="79"/>
      <c r="B7" s="64"/>
      <c r="C7" s="64"/>
      <c r="D7" s="64"/>
      <c r="E7" s="64"/>
      <c r="F7" s="64"/>
      <c r="G7" s="88"/>
      <c r="H7" s="27"/>
    </row>
    <row r="8" spans="1:9" x14ac:dyDescent="0.2">
      <c r="A8" s="75" t="s">
        <v>77</v>
      </c>
      <c r="B8" s="63" t="s">
        <v>80</v>
      </c>
      <c r="C8" s="64"/>
      <c r="D8" s="77" t="s">
        <v>62</v>
      </c>
      <c r="E8" s="78"/>
      <c r="F8" s="64"/>
      <c r="G8" s="88"/>
      <c r="H8" s="27"/>
    </row>
    <row r="9" spans="1:9" x14ac:dyDescent="0.2">
      <c r="A9" s="76"/>
      <c r="B9" s="65"/>
      <c r="C9" s="65"/>
      <c r="D9" s="65"/>
      <c r="E9" s="65"/>
      <c r="F9" s="65"/>
      <c r="G9" s="89"/>
      <c r="H9" s="27"/>
    </row>
    <row r="10" spans="1:9" x14ac:dyDescent="0.2">
      <c r="A10" s="34" t="s">
        <v>19</v>
      </c>
      <c r="B10" s="36" t="s">
        <v>20</v>
      </c>
      <c r="C10" s="37" t="s">
        <v>104</v>
      </c>
      <c r="D10" s="38" t="s">
        <v>105</v>
      </c>
      <c r="E10" s="38" t="s">
        <v>106</v>
      </c>
      <c r="F10" s="38" t="s">
        <v>107</v>
      </c>
      <c r="G10" s="40" t="s">
        <v>108</v>
      </c>
      <c r="H10" s="28"/>
    </row>
    <row r="11" spans="1:9" x14ac:dyDescent="0.2">
      <c r="A11" s="35"/>
      <c r="B11" s="35" t="s">
        <v>21</v>
      </c>
      <c r="C11" s="35" t="s">
        <v>41</v>
      </c>
      <c r="D11" s="41">
        <f>'Stavební rozpočet'!H12</f>
        <v>0</v>
      </c>
      <c r="E11" s="41">
        <f>'Stavební rozpočet'!I12</f>
        <v>0</v>
      </c>
      <c r="F11" s="41">
        <f>D11+E11</f>
        <v>0</v>
      </c>
      <c r="G11" s="41">
        <f>'Stavební rozpočet'!L12</f>
        <v>63.64428800000001</v>
      </c>
      <c r="H11" s="29" t="s">
        <v>109</v>
      </c>
      <c r="I11" s="29">
        <f>IF(H11="F",0,F11)</f>
        <v>0</v>
      </c>
    </row>
    <row r="12" spans="1:9" x14ac:dyDescent="0.2">
      <c r="A12" s="15"/>
      <c r="B12" s="15" t="s">
        <v>24</v>
      </c>
      <c r="C12" s="15" t="s">
        <v>45</v>
      </c>
      <c r="D12" s="29">
        <f>'Stavební rozpočet'!H16</f>
        <v>0</v>
      </c>
      <c r="E12" s="29">
        <f>'Stavební rozpočet'!I16</f>
        <v>0</v>
      </c>
      <c r="F12" s="29">
        <f>D12+E12</f>
        <v>0</v>
      </c>
      <c r="G12" s="29">
        <f>'Stavební rozpočet'!L16</f>
        <v>0.19400000000000001</v>
      </c>
      <c r="H12" s="29" t="s">
        <v>109</v>
      </c>
      <c r="I12" s="29">
        <f>IF(H12="F",0,F12)</f>
        <v>0</v>
      </c>
    </row>
    <row r="13" spans="1:9" x14ac:dyDescent="0.2">
      <c r="A13" s="15"/>
      <c r="B13" s="15" t="s">
        <v>26</v>
      </c>
      <c r="C13" s="15" t="s">
        <v>46</v>
      </c>
      <c r="D13" s="29">
        <f>'Stavební rozpočet'!H18</f>
        <v>0</v>
      </c>
      <c r="E13" s="29">
        <f>'Stavební rozpočet'!I18</f>
        <v>0</v>
      </c>
      <c r="F13" s="29">
        <f>D13+E13</f>
        <v>0</v>
      </c>
      <c r="G13" s="29">
        <f>'Stavební rozpočet'!L18</f>
        <v>0.74480600000000008</v>
      </c>
      <c r="H13" s="29" t="s">
        <v>109</v>
      </c>
      <c r="I13" s="29">
        <f>IF(H13="F",0,F13)</f>
        <v>0</v>
      </c>
    </row>
    <row r="14" spans="1:9" x14ac:dyDescent="0.2">
      <c r="A14" s="15"/>
      <c r="B14" s="15" t="s">
        <v>28</v>
      </c>
      <c r="C14" s="15" t="s">
        <v>48</v>
      </c>
      <c r="D14" s="29">
        <f>'Stavební rozpočet'!H21</f>
        <v>0</v>
      </c>
      <c r="E14" s="29">
        <f>'Stavební rozpočet'!I21</f>
        <v>0</v>
      </c>
      <c r="F14" s="29">
        <f>D14+E14</f>
        <v>0</v>
      </c>
      <c r="G14" s="29">
        <f>'Stavební rozpočet'!L21</f>
        <v>2.3340249999999996</v>
      </c>
      <c r="H14" s="29" t="s">
        <v>109</v>
      </c>
      <c r="I14" s="29">
        <f>IF(H14="F",0,F14)</f>
        <v>0</v>
      </c>
    </row>
    <row r="15" spans="1:9" x14ac:dyDescent="0.2">
      <c r="A15" s="15"/>
      <c r="B15" s="15" t="s">
        <v>32</v>
      </c>
      <c r="C15" s="15" t="s">
        <v>53</v>
      </c>
      <c r="D15" s="29">
        <f>'Stavební rozpočet'!H27</f>
        <v>0</v>
      </c>
      <c r="E15" s="29">
        <f>'Stavební rozpočet'!I27</f>
        <v>0</v>
      </c>
      <c r="F15" s="29">
        <f>D15+E15</f>
        <v>0</v>
      </c>
      <c r="G15" s="29">
        <f>'Stavební rozpočet'!L27</f>
        <v>7.6965000000000003</v>
      </c>
      <c r="H15" s="29" t="s">
        <v>109</v>
      </c>
      <c r="I15" s="29">
        <f>IF(H15="F",0,F15)</f>
        <v>0</v>
      </c>
    </row>
    <row r="17" spans="5:6" x14ac:dyDescent="0.2">
      <c r="E17" s="39" t="s">
        <v>73</v>
      </c>
      <c r="F17" s="42">
        <f>ROUND(SUM(I11:I15),0)</f>
        <v>0</v>
      </c>
    </row>
  </sheetData>
  <mergeCells count="17">
    <mergeCell ref="A1:G1"/>
    <mergeCell ref="A2:A3"/>
    <mergeCell ref="B2:C3"/>
    <mergeCell ref="D2:D3"/>
    <mergeCell ref="E2:G3"/>
    <mergeCell ref="A8:A9"/>
    <mergeCell ref="B8:C9"/>
    <mergeCell ref="D8:D9"/>
    <mergeCell ref="E8:G9"/>
    <mergeCell ref="A4:A5"/>
    <mergeCell ref="B4:C5"/>
    <mergeCell ref="D4:D5"/>
    <mergeCell ref="E4:G5"/>
    <mergeCell ref="A6:A7"/>
    <mergeCell ref="B6:C7"/>
    <mergeCell ref="D6:D7"/>
    <mergeCell ref="E6:G7"/>
  </mergeCells>
  <pageMargins left="0.39400000000000002" right="0.39400000000000002" top="0.59099999999999997" bottom="0.59099999999999997" header="0.5" footer="0.5"/>
  <pageSetup paperSize="9" scale="8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"/>
  <sheetViews>
    <sheetView workbookViewId="0">
      <selection activeCell="F8" sqref="F8:H9"/>
    </sheetView>
  </sheetViews>
  <sheetFormatPr defaultColWidth="11.5703125" defaultRowHeight="12.75" x14ac:dyDescent="0.2"/>
  <cols>
    <col min="1" max="2" width="9.140625" customWidth="1"/>
    <col min="3" max="3" width="13.28515625" customWidth="1"/>
    <col min="4" max="4" width="44" customWidth="1"/>
    <col min="5" max="5" width="14.5703125" customWidth="1"/>
    <col min="6" max="6" width="24.140625" customWidth="1"/>
    <col min="7" max="7" width="20.42578125" customWidth="1"/>
    <col min="8" max="8" width="16.42578125" customWidth="1"/>
  </cols>
  <sheetData>
    <row r="1" spans="1:9" ht="72.95" customHeight="1" x14ac:dyDescent="0.35">
      <c r="A1" s="80" t="s">
        <v>110</v>
      </c>
      <c r="B1" s="81"/>
      <c r="C1" s="81"/>
      <c r="D1" s="81"/>
      <c r="E1" s="81"/>
      <c r="F1" s="81"/>
      <c r="G1" s="81"/>
      <c r="H1" s="81"/>
    </row>
    <row r="2" spans="1:9" x14ac:dyDescent="0.2">
      <c r="A2" s="82" t="s">
        <v>1</v>
      </c>
      <c r="B2" s="83"/>
      <c r="C2" s="84" t="s">
        <v>37</v>
      </c>
      <c r="D2" s="69"/>
      <c r="E2" s="87" t="s">
        <v>74</v>
      </c>
      <c r="F2" s="87" t="s">
        <v>38</v>
      </c>
      <c r="G2" s="83"/>
      <c r="H2" s="90"/>
      <c r="I2" s="27"/>
    </row>
    <row r="3" spans="1:9" x14ac:dyDescent="0.2">
      <c r="A3" s="79"/>
      <c r="B3" s="64"/>
      <c r="C3" s="85"/>
      <c r="D3" s="85"/>
      <c r="E3" s="64"/>
      <c r="F3" s="64"/>
      <c r="G3" s="64"/>
      <c r="H3" s="88"/>
      <c r="I3" s="27"/>
    </row>
    <row r="4" spans="1:9" x14ac:dyDescent="0.2">
      <c r="A4" s="75" t="s">
        <v>2</v>
      </c>
      <c r="B4" s="64"/>
      <c r="C4" s="63"/>
      <c r="D4" s="64"/>
      <c r="E4" s="63" t="s">
        <v>75</v>
      </c>
      <c r="F4" s="63"/>
      <c r="G4" s="64"/>
      <c r="H4" s="88"/>
      <c r="I4" s="27"/>
    </row>
    <row r="5" spans="1:9" x14ac:dyDescent="0.2">
      <c r="A5" s="79"/>
      <c r="B5" s="64"/>
      <c r="C5" s="64"/>
      <c r="D5" s="64"/>
      <c r="E5" s="64"/>
      <c r="F5" s="64"/>
      <c r="G5" s="64"/>
      <c r="H5" s="88"/>
      <c r="I5" s="27"/>
    </row>
    <row r="6" spans="1:9" x14ac:dyDescent="0.2">
      <c r="A6" s="75" t="s">
        <v>3</v>
      </c>
      <c r="B6" s="64"/>
      <c r="C6" s="63" t="s">
        <v>38</v>
      </c>
      <c r="D6" s="64"/>
      <c r="E6" s="63" t="s">
        <v>76</v>
      </c>
      <c r="F6" s="63" t="s">
        <v>79</v>
      </c>
      <c r="G6" s="64"/>
      <c r="H6" s="88"/>
      <c r="I6" s="27"/>
    </row>
    <row r="7" spans="1:9" x14ac:dyDescent="0.2">
      <c r="A7" s="79"/>
      <c r="B7" s="64"/>
      <c r="C7" s="64"/>
      <c r="D7" s="64"/>
      <c r="E7" s="64"/>
      <c r="F7" s="64"/>
      <c r="G7" s="64"/>
      <c r="H7" s="88"/>
      <c r="I7" s="27"/>
    </row>
    <row r="8" spans="1:9" x14ac:dyDescent="0.2">
      <c r="A8" s="75" t="s">
        <v>77</v>
      </c>
      <c r="B8" s="64"/>
      <c r="C8" s="63" t="s">
        <v>80</v>
      </c>
      <c r="D8" s="64"/>
      <c r="E8" s="77" t="s">
        <v>62</v>
      </c>
      <c r="F8" s="78"/>
      <c r="G8" s="64"/>
      <c r="H8" s="88"/>
      <c r="I8" s="27"/>
    </row>
    <row r="9" spans="1:9" x14ac:dyDescent="0.2">
      <c r="A9" s="76"/>
      <c r="B9" s="65"/>
      <c r="C9" s="65"/>
      <c r="D9" s="65"/>
      <c r="E9" s="65"/>
      <c r="F9" s="65"/>
      <c r="G9" s="65"/>
      <c r="H9" s="89"/>
      <c r="I9" s="27"/>
    </row>
    <row r="10" spans="1:9" x14ac:dyDescent="0.2">
      <c r="A10" s="36" t="s">
        <v>5</v>
      </c>
      <c r="B10" s="37" t="s">
        <v>19</v>
      </c>
      <c r="C10" s="37" t="s">
        <v>20</v>
      </c>
      <c r="D10" s="91" t="s">
        <v>39</v>
      </c>
      <c r="E10" s="92"/>
      <c r="F10" s="37" t="s">
        <v>63</v>
      </c>
      <c r="G10" s="44" t="s">
        <v>68</v>
      </c>
      <c r="H10" s="34" t="s">
        <v>111</v>
      </c>
      <c r="I10" s="28"/>
    </row>
    <row r="11" spans="1:9" x14ac:dyDescent="0.2">
      <c r="A11" s="43"/>
      <c r="B11" s="43"/>
      <c r="C11" s="43"/>
      <c r="D11" s="43"/>
      <c r="E11" s="43"/>
      <c r="F11" s="43"/>
      <c r="G11" s="43"/>
      <c r="H11" s="43"/>
    </row>
    <row r="12" spans="1:9" ht="11.25" customHeight="1" x14ac:dyDescent="0.2">
      <c r="A12" s="8" t="s">
        <v>18</v>
      </c>
    </row>
    <row r="13" spans="1:9" x14ac:dyDescent="0.2">
      <c r="A13" s="63"/>
      <c r="B13" s="64"/>
      <c r="C13" s="64"/>
      <c r="D13" s="64"/>
      <c r="E13" s="64"/>
      <c r="F13" s="64"/>
      <c r="G13" s="64"/>
    </row>
  </sheetData>
  <mergeCells count="19">
    <mergeCell ref="A1:H1"/>
    <mergeCell ref="A2:B3"/>
    <mergeCell ref="C2:D3"/>
    <mergeCell ref="E2:E3"/>
    <mergeCell ref="F2:H3"/>
    <mergeCell ref="A4:B5"/>
    <mergeCell ref="C4:D5"/>
    <mergeCell ref="E4:E5"/>
    <mergeCell ref="F4:H5"/>
    <mergeCell ref="D10:E10"/>
    <mergeCell ref="A13:G13"/>
    <mergeCell ref="A6:B7"/>
    <mergeCell ref="C6:D7"/>
    <mergeCell ref="E6:E7"/>
    <mergeCell ref="F6:H7"/>
    <mergeCell ref="A8:B9"/>
    <mergeCell ref="C8:D9"/>
    <mergeCell ref="E8:E9"/>
    <mergeCell ref="F8:H9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7"/>
  <sheetViews>
    <sheetView workbookViewId="0">
      <selection activeCell="A27" sqref="A27:B27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60"/>
      <c r="B1" s="45"/>
      <c r="C1" s="117" t="s">
        <v>127</v>
      </c>
      <c r="D1" s="118"/>
      <c r="E1" s="118"/>
      <c r="F1" s="118"/>
      <c r="G1" s="118"/>
      <c r="H1" s="118"/>
      <c r="I1" s="118"/>
    </row>
    <row r="2" spans="1:10" x14ac:dyDescent="0.2">
      <c r="A2" s="82" t="s">
        <v>1</v>
      </c>
      <c r="B2" s="83"/>
      <c r="C2" s="84" t="s">
        <v>37</v>
      </c>
      <c r="D2" s="69"/>
      <c r="E2" s="87" t="s">
        <v>74</v>
      </c>
      <c r="F2" s="87" t="s">
        <v>38</v>
      </c>
      <c r="G2" s="83"/>
      <c r="H2" s="87" t="s">
        <v>152</v>
      </c>
      <c r="I2" s="119"/>
      <c r="J2" s="27"/>
    </row>
    <row r="3" spans="1:10" x14ac:dyDescent="0.2">
      <c r="A3" s="79"/>
      <c r="B3" s="64"/>
      <c r="C3" s="85"/>
      <c r="D3" s="85"/>
      <c r="E3" s="64"/>
      <c r="F3" s="64"/>
      <c r="G3" s="64"/>
      <c r="H3" s="64"/>
      <c r="I3" s="88"/>
      <c r="J3" s="27"/>
    </row>
    <row r="4" spans="1:10" x14ac:dyDescent="0.2">
      <c r="A4" s="75" t="s">
        <v>2</v>
      </c>
      <c r="B4" s="64"/>
      <c r="C4" s="63"/>
      <c r="D4" s="64"/>
      <c r="E4" s="63" t="s">
        <v>75</v>
      </c>
      <c r="F4" s="63"/>
      <c r="G4" s="64"/>
      <c r="H4" s="63" t="s">
        <v>152</v>
      </c>
      <c r="I4" s="112"/>
      <c r="J4" s="27"/>
    </row>
    <row r="5" spans="1:10" x14ac:dyDescent="0.2">
      <c r="A5" s="79"/>
      <c r="B5" s="64"/>
      <c r="C5" s="64"/>
      <c r="D5" s="64"/>
      <c r="E5" s="64"/>
      <c r="F5" s="64"/>
      <c r="G5" s="64"/>
      <c r="H5" s="64"/>
      <c r="I5" s="88"/>
      <c r="J5" s="27"/>
    </row>
    <row r="6" spans="1:10" x14ac:dyDescent="0.2">
      <c r="A6" s="75" t="s">
        <v>3</v>
      </c>
      <c r="B6" s="64"/>
      <c r="C6" s="63" t="s">
        <v>38</v>
      </c>
      <c r="D6" s="64"/>
      <c r="E6" s="63" t="s">
        <v>76</v>
      </c>
      <c r="F6" s="63" t="s">
        <v>79</v>
      </c>
      <c r="G6" s="64"/>
      <c r="H6" s="63" t="s">
        <v>152</v>
      </c>
      <c r="I6" s="112"/>
      <c r="J6" s="27"/>
    </row>
    <row r="7" spans="1:10" x14ac:dyDescent="0.2">
      <c r="A7" s="79"/>
      <c r="B7" s="64"/>
      <c r="C7" s="64"/>
      <c r="D7" s="64"/>
      <c r="E7" s="64"/>
      <c r="F7" s="64"/>
      <c r="G7" s="64"/>
      <c r="H7" s="64"/>
      <c r="I7" s="88"/>
      <c r="J7" s="27"/>
    </row>
    <row r="8" spans="1:10" x14ac:dyDescent="0.2">
      <c r="A8" s="75" t="s">
        <v>60</v>
      </c>
      <c r="B8" s="64"/>
      <c r="C8" s="78"/>
      <c r="D8" s="64"/>
      <c r="E8" s="63" t="s">
        <v>61</v>
      </c>
      <c r="F8" s="64"/>
      <c r="G8" s="64"/>
      <c r="H8" s="77" t="s">
        <v>153</v>
      </c>
      <c r="I8" s="112" t="s">
        <v>17</v>
      </c>
      <c r="J8" s="27"/>
    </row>
    <row r="9" spans="1:10" x14ac:dyDescent="0.2">
      <c r="A9" s="79"/>
      <c r="B9" s="64"/>
      <c r="C9" s="64"/>
      <c r="D9" s="64"/>
      <c r="E9" s="64"/>
      <c r="F9" s="64"/>
      <c r="G9" s="64"/>
      <c r="H9" s="64"/>
      <c r="I9" s="88"/>
      <c r="J9" s="27"/>
    </row>
    <row r="10" spans="1:10" x14ac:dyDescent="0.2">
      <c r="A10" s="75" t="s">
        <v>4</v>
      </c>
      <c r="B10" s="64"/>
      <c r="C10" s="63"/>
      <c r="D10" s="64"/>
      <c r="E10" s="63" t="s">
        <v>77</v>
      </c>
      <c r="F10" s="63" t="s">
        <v>80</v>
      </c>
      <c r="G10" s="64"/>
      <c r="H10" s="77" t="s">
        <v>154</v>
      </c>
      <c r="I10" s="115"/>
      <c r="J10" s="27"/>
    </row>
    <row r="11" spans="1:10" x14ac:dyDescent="0.2">
      <c r="A11" s="113"/>
      <c r="B11" s="114"/>
      <c r="C11" s="114"/>
      <c r="D11" s="114"/>
      <c r="E11" s="114"/>
      <c r="F11" s="114"/>
      <c r="G11" s="114"/>
      <c r="H11" s="114"/>
      <c r="I11" s="116"/>
      <c r="J11" s="27"/>
    </row>
    <row r="12" spans="1:10" ht="23.45" customHeight="1" x14ac:dyDescent="0.2">
      <c r="A12" s="108" t="s">
        <v>112</v>
      </c>
      <c r="B12" s="109"/>
      <c r="C12" s="109"/>
      <c r="D12" s="109"/>
      <c r="E12" s="109"/>
      <c r="F12" s="109"/>
      <c r="G12" s="109"/>
      <c r="H12" s="109"/>
      <c r="I12" s="109"/>
    </row>
    <row r="13" spans="1:10" ht="26.45" customHeight="1" x14ac:dyDescent="0.2">
      <c r="A13" s="46" t="s">
        <v>113</v>
      </c>
      <c r="B13" s="110" t="s">
        <v>125</v>
      </c>
      <c r="C13" s="111"/>
      <c r="D13" s="46" t="s">
        <v>128</v>
      </c>
      <c r="E13" s="110" t="s">
        <v>137</v>
      </c>
      <c r="F13" s="111"/>
      <c r="G13" s="46" t="s">
        <v>138</v>
      </c>
      <c r="H13" s="110" t="s">
        <v>155</v>
      </c>
      <c r="I13" s="111"/>
      <c r="J13" s="27"/>
    </row>
    <row r="14" spans="1:10" ht="15.2" customHeight="1" x14ac:dyDescent="0.2">
      <c r="A14" s="47" t="s">
        <v>114</v>
      </c>
      <c r="B14" s="51" t="s">
        <v>126</v>
      </c>
      <c r="C14" s="54">
        <f>SUM('Stavební rozpočet'!Q12:Q32)</f>
        <v>0</v>
      </c>
      <c r="D14" s="106" t="s">
        <v>129</v>
      </c>
      <c r="E14" s="107"/>
      <c r="F14" s="54">
        <v>0</v>
      </c>
      <c r="G14" s="106" t="s">
        <v>139</v>
      </c>
      <c r="H14" s="107"/>
      <c r="I14" s="54">
        <v>0</v>
      </c>
      <c r="J14" s="27"/>
    </row>
    <row r="15" spans="1:10" ht="15.2" customHeight="1" x14ac:dyDescent="0.2">
      <c r="A15" s="48"/>
      <c r="B15" s="51" t="s">
        <v>78</v>
      </c>
      <c r="C15" s="54">
        <f>SUM('Stavební rozpočet'!R12:R32)</f>
        <v>0</v>
      </c>
      <c r="D15" s="106" t="s">
        <v>130</v>
      </c>
      <c r="E15" s="107"/>
      <c r="F15" s="54">
        <v>0</v>
      </c>
      <c r="G15" s="106" t="s">
        <v>140</v>
      </c>
      <c r="H15" s="107"/>
      <c r="I15" s="54">
        <v>0</v>
      </c>
      <c r="J15" s="27"/>
    </row>
    <row r="16" spans="1:10" ht="15.2" customHeight="1" x14ac:dyDescent="0.2">
      <c r="A16" s="47" t="s">
        <v>115</v>
      </c>
      <c r="B16" s="51" t="s">
        <v>126</v>
      </c>
      <c r="C16" s="54">
        <f>SUM('Stavební rozpočet'!S12:S32)</f>
        <v>0</v>
      </c>
      <c r="D16" s="106" t="s">
        <v>131</v>
      </c>
      <c r="E16" s="107"/>
      <c r="F16" s="54">
        <v>0</v>
      </c>
      <c r="G16" s="106" t="s">
        <v>141</v>
      </c>
      <c r="H16" s="107"/>
      <c r="I16" s="54">
        <v>0</v>
      </c>
      <c r="J16" s="27"/>
    </row>
    <row r="17" spans="1:10" ht="15.2" customHeight="1" x14ac:dyDescent="0.2">
      <c r="A17" s="48"/>
      <c r="B17" s="51" t="s">
        <v>78</v>
      </c>
      <c r="C17" s="54">
        <f>SUM('Stavební rozpočet'!T12:T32)</f>
        <v>0</v>
      </c>
      <c r="D17" s="106"/>
      <c r="E17" s="107"/>
      <c r="F17" s="55"/>
      <c r="G17" s="106" t="s">
        <v>142</v>
      </c>
      <c r="H17" s="107"/>
      <c r="I17" s="54">
        <v>0</v>
      </c>
      <c r="J17" s="27"/>
    </row>
    <row r="18" spans="1:10" ht="15.2" customHeight="1" x14ac:dyDescent="0.2">
      <c r="A18" s="47" t="s">
        <v>116</v>
      </c>
      <c r="B18" s="51" t="s">
        <v>126</v>
      </c>
      <c r="C18" s="54">
        <f>SUM('Stavební rozpočet'!U12:U32)</f>
        <v>0</v>
      </c>
      <c r="D18" s="106"/>
      <c r="E18" s="107"/>
      <c r="F18" s="55"/>
      <c r="G18" s="106" t="s">
        <v>143</v>
      </c>
      <c r="H18" s="107"/>
      <c r="I18" s="54">
        <v>0</v>
      </c>
      <c r="J18" s="27"/>
    </row>
    <row r="19" spans="1:10" ht="15.2" customHeight="1" x14ac:dyDescent="0.2">
      <c r="A19" s="48"/>
      <c r="B19" s="51" t="s">
        <v>78</v>
      </c>
      <c r="C19" s="54">
        <f>SUM('Stavební rozpočet'!V12:V32)</f>
        <v>0</v>
      </c>
      <c r="D19" s="106"/>
      <c r="E19" s="107"/>
      <c r="F19" s="55"/>
      <c r="G19" s="106" t="s">
        <v>144</v>
      </c>
      <c r="H19" s="107"/>
      <c r="I19" s="54">
        <v>0</v>
      </c>
      <c r="J19" s="27"/>
    </row>
    <row r="20" spans="1:10" ht="15.2" customHeight="1" x14ac:dyDescent="0.2">
      <c r="A20" s="104" t="s">
        <v>117</v>
      </c>
      <c r="B20" s="105"/>
      <c r="C20" s="54">
        <f>SUM('Stavební rozpočet'!W12:W32)</f>
        <v>0</v>
      </c>
      <c r="D20" s="106"/>
      <c r="E20" s="107"/>
      <c r="F20" s="55"/>
      <c r="G20" s="106"/>
      <c r="H20" s="107"/>
      <c r="I20" s="55"/>
      <c r="J20" s="27"/>
    </row>
    <row r="21" spans="1:10" ht="15.2" customHeight="1" x14ac:dyDescent="0.2">
      <c r="A21" s="104" t="s">
        <v>118</v>
      </c>
      <c r="B21" s="105"/>
      <c r="C21" s="54">
        <f>SUM('Stavební rozpočet'!O12:O32)</f>
        <v>0</v>
      </c>
      <c r="D21" s="106"/>
      <c r="E21" s="107"/>
      <c r="F21" s="55"/>
      <c r="G21" s="106"/>
      <c r="H21" s="107"/>
      <c r="I21" s="55"/>
      <c r="J21" s="27"/>
    </row>
    <row r="22" spans="1:10" ht="16.7" customHeight="1" x14ac:dyDescent="0.2">
      <c r="A22" s="104" t="s">
        <v>119</v>
      </c>
      <c r="B22" s="105"/>
      <c r="C22" s="54">
        <f>ROUND(SUM(C14:C21),0)</f>
        <v>0</v>
      </c>
      <c r="D22" s="104" t="s">
        <v>132</v>
      </c>
      <c r="E22" s="105"/>
      <c r="F22" s="54">
        <f>SUM(F14:F21)</f>
        <v>0</v>
      </c>
      <c r="G22" s="104" t="s">
        <v>145</v>
      </c>
      <c r="H22" s="105"/>
      <c r="I22" s="54">
        <f>SUM(I14:I21)</f>
        <v>0</v>
      </c>
      <c r="J22" s="27"/>
    </row>
    <row r="23" spans="1:10" ht="15.2" customHeight="1" x14ac:dyDescent="0.2">
      <c r="A23" s="7"/>
      <c r="B23" s="7"/>
      <c r="C23" s="52"/>
      <c r="D23" s="104" t="s">
        <v>133</v>
      </c>
      <c r="E23" s="105"/>
      <c r="F23" s="56">
        <v>0</v>
      </c>
      <c r="G23" s="104" t="s">
        <v>146</v>
      </c>
      <c r="H23" s="105"/>
      <c r="I23" s="54">
        <v>0</v>
      </c>
      <c r="J23" s="27"/>
    </row>
    <row r="24" spans="1:10" ht="15.2" customHeight="1" x14ac:dyDescent="0.2">
      <c r="D24" s="7"/>
      <c r="E24" s="7"/>
      <c r="F24" s="57"/>
      <c r="G24" s="104" t="s">
        <v>147</v>
      </c>
      <c r="H24" s="105"/>
      <c r="I24" s="54">
        <v>0</v>
      </c>
      <c r="J24" s="27"/>
    </row>
    <row r="25" spans="1:10" ht="15.2" customHeight="1" x14ac:dyDescent="0.2">
      <c r="F25" s="58"/>
      <c r="G25" s="104" t="s">
        <v>148</v>
      </c>
      <c r="H25" s="105"/>
      <c r="I25" s="54">
        <v>0</v>
      </c>
      <c r="J25" s="27"/>
    </row>
    <row r="26" spans="1:10" x14ac:dyDescent="0.2">
      <c r="A26" s="45"/>
      <c r="B26" s="45"/>
      <c r="C26" s="45"/>
      <c r="G26" s="7"/>
      <c r="H26" s="7"/>
      <c r="I26" s="7"/>
    </row>
    <row r="27" spans="1:10" ht="15.2" customHeight="1" x14ac:dyDescent="0.2">
      <c r="A27" s="102" t="s">
        <v>120</v>
      </c>
      <c r="B27" s="103"/>
      <c r="C27" s="59">
        <f>ROUND(SUM('Stavební rozpočet'!Y12:Y32),0)</f>
        <v>0</v>
      </c>
      <c r="D27" s="53"/>
      <c r="E27" s="45"/>
      <c r="F27" s="45"/>
      <c r="G27" s="45"/>
      <c r="H27" s="45"/>
      <c r="I27" s="45"/>
    </row>
    <row r="28" spans="1:10" ht="15.2" customHeight="1" x14ac:dyDescent="0.2">
      <c r="A28" s="102" t="s">
        <v>121</v>
      </c>
      <c r="B28" s="103"/>
      <c r="C28" s="59">
        <f>ROUND(SUM('Stavební rozpočet'!Z12:Z32),0)</f>
        <v>0</v>
      </c>
      <c r="D28" s="102" t="s">
        <v>134</v>
      </c>
      <c r="E28" s="103"/>
      <c r="F28" s="59">
        <f>ROUND(C28*(15/100),2)</f>
        <v>0</v>
      </c>
      <c r="G28" s="102" t="s">
        <v>149</v>
      </c>
      <c r="H28" s="103"/>
      <c r="I28" s="59">
        <f>ROUND(SUM(C27:C29),0)</f>
        <v>0</v>
      </c>
      <c r="J28" s="27"/>
    </row>
    <row r="29" spans="1:10" ht="15.2" customHeight="1" x14ac:dyDescent="0.2">
      <c r="A29" s="102" t="s">
        <v>122</v>
      </c>
      <c r="B29" s="103"/>
      <c r="C29" s="59">
        <f>ROUND(SUM('Stavební rozpočet'!AA12:AA32)+(F22+I22+F23+I23+I24+I25),0)</f>
        <v>0</v>
      </c>
      <c r="D29" s="102" t="s">
        <v>135</v>
      </c>
      <c r="E29" s="103"/>
      <c r="F29" s="59">
        <f>ROUND(C29*(21/100),2)</f>
        <v>0</v>
      </c>
      <c r="G29" s="102" t="s">
        <v>150</v>
      </c>
      <c r="H29" s="103"/>
      <c r="I29" s="59">
        <f>ROUND(SUM(F28:F29)+I28,0)</f>
        <v>0</v>
      </c>
      <c r="J29" s="27"/>
    </row>
    <row r="30" spans="1:10" x14ac:dyDescent="0.2">
      <c r="A30" s="49"/>
      <c r="B30" s="49"/>
      <c r="C30" s="49"/>
      <c r="D30" s="49"/>
      <c r="E30" s="49"/>
      <c r="F30" s="49"/>
      <c r="G30" s="49"/>
      <c r="H30" s="49"/>
      <c r="I30" s="49"/>
    </row>
    <row r="31" spans="1:10" ht="14.45" customHeight="1" x14ac:dyDescent="0.2">
      <c r="A31" s="99" t="s">
        <v>123</v>
      </c>
      <c r="B31" s="100"/>
      <c r="C31" s="101"/>
      <c r="D31" s="99" t="s">
        <v>136</v>
      </c>
      <c r="E31" s="100"/>
      <c r="F31" s="101"/>
      <c r="G31" s="99" t="s">
        <v>151</v>
      </c>
      <c r="H31" s="100"/>
      <c r="I31" s="101"/>
      <c r="J31" s="28"/>
    </row>
    <row r="32" spans="1:10" ht="14.45" customHeight="1" x14ac:dyDescent="0.2">
      <c r="A32" s="93"/>
      <c r="B32" s="94"/>
      <c r="C32" s="95"/>
      <c r="D32" s="93"/>
      <c r="E32" s="94"/>
      <c r="F32" s="95"/>
      <c r="G32" s="93"/>
      <c r="H32" s="94"/>
      <c r="I32" s="95"/>
      <c r="J32" s="28"/>
    </row>
    <row r="33" spans="1:10" ht="14.45" customHeight="1" x14ac:dyDescent="0.2">
      <c r="A33" s="93"/>
      <c r="B33" s="94"/>
      <c r="C33" s="95"/>
      <c r="D33" s="93"/>
      <c r="E33" s="94"/>
      <c r="F33" s="95"/>
      <c r="G33" s="93"/>
      <c r="H33" s="94"/>
      <c r="I33" s="95"/>
      <c r="J33" s="28"/>
    </row>
    <row r="34" spans="1:10" ht="14.45" customHeight="1" x14ac:dyDescent="0.2">
      <c r="A34" s="93"/>
      <c r="B34" s="94"/>
      <c r="C34" s="95"/>
      <c r="D34" s="93"/>
      <c r="E34" s="94"/>
      <c r="F34" s="95"/>
      <c r="G34" s="93"/>
      <c r="H34" s="94"/>
      <c r="I34" s="95"/>
      <c r="J34" s="28"/>
    </row>
    <row r="35" spans="1:10" ht="14.45" customHeight="1" x14ac:dyDescent="0.2">
      <c r="A35" s="96" t="s">
        <v>124</v>
      </c>
      <c r="B35" s="97"/>
      <c r="C35" s="98"/>
      <c r="D35" s="96" t="s">
        <v>124</v>
      </c>
      <c r="E35" s="97"/>
      <c r="F35" s="98"/>
      <c r="G35" s="96" t="s">
        <v>124</v>
      </c>
      <c r="H35" s="97"/>
      <c r="I35" s="98"/>
      <c r="J35" s="28"/>
    </row>
    <row r="36" spans="1:10" ht="11.25" customHeight="1" x14ac:dyDescent="0.2">
      <c r="A36" s="50" t="s">
        <v>18</v>
      </c>
      <c r="B36" s="43"/>
      <c r="C36" s="43"/>
      <c r="D36" s="43"/>
      <c r="E36" s="43"/>
      <c r="F36" s="43"/>
      <c r="G36" s="43"/>
      <c r="H36" s="43"/>
      <c r="I36" s="43"/>
    </row>
    <row r="37" spans="1:10" x14ac:dyDescent="0.2">
      <c r="A37" s="63"/>
      <c r="B37" s="64"/>
      <c r="C37" s="64"/>
      <c r="D37" s="64"/>
      <c r="E37" s="64"/>
      <c r="F37" s="64"/>
      <c r="G37" s="64"/>
      <c r="H37" s="64"/>
      <c r="I37" s="64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Stavební rozpočet</vt:lpstr>
      <vt:lpstr>Stavební rozpočet - součet</vt:lpstr>
      <vt:lpstr>Výkaz výměr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Vlastnik</cp:lastModifiedBy>
  <cp:lastPrinted>2020-03-13T12:51:32Z</cp:lastPrinted>
  <dcterms:created xsi:type="dcterms:W3CDTF">2020-03-13T12:38:13Z</dcterms:created>
  <dcterms:modified xsi:type="dcterms:W3CDTF">2020-06-30T10:41:41Z</dcterms:modified>
</cp:coreProperties>
</file>